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hamed\Desktop\"/>
    </mc:Choice>
  </mc:AlternateContent>
  <bookViews>
    <workbookView xWindow="0" yWindow="0" windowWidth="28800" windowHeight="12435"/>
  </bookViews>
  <sheets>
    <sheet name="Процедура 6 Irish Red Ale" sheetId="1" r:id="rId1"/>
  </sheets>
  <externalReferences>
    <externalReference r:id="rId2"/>
  </externalReferences>
  <definedNames>
    <definedName name="asasas">#REF!</definedName>
    <definedName name="dd" localSheetId="0">#REF!</definedName>
    <definedName name="dd">#REF!</definedName>
    <definedName name="ffff">#REF!</definedName>
    <definedName name="galons" localSheetId="0">#REF!</definedName>
    <definedName name="galons">#REF!</definedName>
    <definedName name="gdfgdfgfd">#REF!</definedName>
    <definedName name="liters" localSheetId="0">#REF!</definedName>
    <definedName name="liters">#REF!</definedName>
    <definedName name="og" localSheetId="0">#REF!</definedName>
    <definedName name="og">#REF!</definedName>
    <definedName name="ogbrix" localSheetId="0">#REF!</definedName>
    <definedName name="ogbrix">#REF!</definedName>
    <definedName name="_xlnm.Print_Area" localSheetId="0">'Процедура 6 Irish Red Ale'!$A$1:$M$107</definedName>
    <definedName name="sdfsf">#REF!</definedName>
    <definedName name="ss">#REF!</definedName>
    <definedName name="sssdf">#REF!</definedName>
    <definedName name="ааа" localSheetId="0">#REF!</definedName>
    <definedName name="ааа">#REF!</definedName>
    <definedName name="гфдгхк">#REF!</definedName>
    <definedName name="гфхгйлп">#REF!</definedName>
    <definedName name="дгдгфдфгдфг">#REF!</definedName>
    <definedName name="дфгдфг43">#REF!</definedName>
    <definedName name="дфгдфг54">#REF!</definedName>
    <definedName name="дфгдфгдфг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7" i="1" l="1"/>
  <c r="V79" i="1"/>
  <c r="S79" i="1"/>
  <c r="U79" i="1" s="1"/>
  <c r="W79" i="1" s="1"/>
  <c r="B57" i="1"/>
  <c r="B56" i="1"/>
  <c r="B55" i="1"/>
  <c r="B54" i="1"/>
  <c r="B53" i="1"/>
  <c r="B51" i="1"/>
  <c r="B46" i="1"/>
  <c r="B45" i="1"/>
  <c r="B44" i="1"/>
  <c r="B42" i="1"/>
  <c r="B39" i="1"/>
  <c r="F36" i="1"/>
  <c r="C36" i="1"/>
  <c r="D35" i="1"/>
  <c r="E35" i="1" s="1"/>
  <c r="D34" i="1"/>
  <c r="E34" i="1" s="1"/>
  <c r="E36" i="1" s="1"/>
  <c r="C32" i="1"/>
  <c r="D31" i="1"/>
  <c r="E31" i="1" s="1"/>
  <c r="G31" i="1" s="1"/>
  <c r="D30" i="1"/>
  <c r="E30" i="1" s="1"/>
  <c r="G30" i="1" s="1"/>
  <c r="D29" i="1"/>
  <c r="E29" i="1" s="1"/>
  <c r="G29" i="1" s="1"/>
  <c r="D28" i="1"/>
  <c r="E28" i="1" s="1"/>
  <c r="G28" i="1" s="1"/>
  <c r="D27" i="1"/>
  <c r="E27" i="1" s="1"/>
  <c r="C25" i="1"/>
  <c r="D21" i="1" s="1"/>
  <c r="L23" i="1"/>
  <c r="L22" i="1"/>
  <c r="D22" i="1"/>
  <c r="E22" i="1" s="1"/>
  <c r="L21" i="1"/>
  <c r="M25" i="1" s="1"/>
  <c r="M19" i="1"/>
  <c r="C13" i="1"/>
  <c r="C14" i="1" s="1"/>
  <c r="D14" i="1" s="1"/>
  <c r="C9" i="1"/>
  <c r="D9" i="1" s="1"/>
  <c r="E8" i="1"/>
  <c r="C8" i="1"/>
  <c r="D8" i="1" s="1"/>
  <c r="J7" i="1"/>
  <c r="E7" i="1"/>
  <c r="D7" i="1"/>
  <c r="C7" i="1"/>
  <c r="J6" i="1"/>
  <c r="D6" i="1"/>
  <c r="J5" i="1"/>
  <c r="D5" i="1"/>
  <c r="J4" i="1"/>
  <c r="B52" i="1" s="1"/>
  <c r="D4" i="1"/>
  <c r="E32" i="1" l="1"/>
  <c r="G27" i="1"/>
  <c r="F32" i="1" s="1"/>
  <c r="B41" i="1"/>
  <c r="B43" i="1"/>
  <c r="B48" i="1"/>
  <c r="E21" i="1"/>
  <c r="E25" i="1" s="1"/>
  <c r="E24" i="1" s="1"/>
  <c r="G24" i="1" s="1"/>
  <c r="F25" i="1" s="1"/>
  <c r="F37" i="1" s="1"/>
  <c r="D25" i="1"/>
  <c r="D13" i="1"/>
  <c r="D32" i="1"/>
  <c r="D36" i="1"/>
  <c r="D23" i="1"/>
  <c r="E23" i="1" s="1"/>
  <c r="L37" i="1" l="1"/>
  <c r="M37" i="1"/>
</calcChain>
</file>

<file path=xl/sharedStrings.xml><?xml version="1.0" encoding="utf-8"?>
<sst xmlns="http://schemas.openxmlformats.org/spreadsheetml/2006/main" count="230" uniqueCount="152">
  <si>
    <t xml:space="preserve">Procedure - Home Beer Brewing  </t>
  </si>
  <si>
    <t>Irish Red Ale</t>
  </si>
  <si>
    <t>Източник на оригинална рецепта</t>
  </si>
  <si>
    <t>http://forum.beer-bg.com/viewtopic.php?f=3&amp;t=2695</t>
  </si>
  <si>
    <t>Recipe</t>
  </si>
  <si>
    <t>Hopes</t>
  </si>
  <si>
    <t>Temperature/ time breaks</t>
  </si>
  <si>
    <t>Ето и рецептата на самата бира :
1. Български светъл пилс малц - 1.8кг.
2. Караарома - 300гр.
3. Карапилс - 200гр.
4. Хмел Цитра внесен на три пъти - в началото на вренето, 20 мин. преди края и 5 мин. преди края - всяко внасяне е по две супени лъжици без да им меря грамажа. Виноват ! :) (около 10гр. на внасяне излиза)
5. Дрожди Нотингам - забравени в едно шишенце от миналата година - тъй като в момента свършиха в магазина. Направих стартер в буркан от 700мл. със около 2 лъжици захар, 100мл. бирена мъст от варката и вода - всичко това мина през микровълновата за 3-4 мин. после беше охладено на водна баня до 20гр. и бяха наръсени около 10гр. стари дрожди Нотингам. Оставих го да се развива чак до днес сутринта като снощи му долях още 100мл. бирена мъст. 
Тази сутрин около 9ч. заквасих и аерирах добре всичко. Сложих клапана и ... 
Чакане му е майката.
Ето и озахарителните подробности :
1. Размесване на 50гр.
2. Протеинова пауза 15 мин. на 53гр. и плавно вдигане до 62.
3. Задържане на 62 10 мин. и плавно вдигане до 67.
4. Задържане на 65-67 40 мин.
5. Плавно вдигане до 75 и йодна проба - 15 мин.
Озахаряването беше с 9л. вода, а промиването - с 10л.
Не съм подкиселявал или обработвал водата, забравих и ирландския мъх, но все пак мисля че стана доста бистра.
Ще я видим след ферментацията.
Тъй като количеството е малко (около 9.5л. излезе) мисля да я газирам по класическия метод с бутилкова доферментация с около 5гр. на литър захар.
А може да пробвам и с малцов екстракт - 7гр. на литър.</t>
  </si>
  <si>
    <t>Row material</t>
  </si>
  <si>
    <t>Qty</t>
  </si>
  <si>
    <t>Rounded Qty</t>
  </si>
  <si>
    <t>%</t>
  </si>
  <si>
    <t>Type</t>
  </si>
  <si>
    <t>Time</t>
  </si>
  <si>
    <t>@</t>
  </si>
  <si>
    <t>Градуси за озахаряване 
според калкулатора:</t>
  </si>
  <si>
    <t>71,4 °C</t>
  </si>
  <si>
    <t>N/A</t>
  </si>
  <si>
    <t>Малц - общо</t>
  </si>
  <si>
    <t xml:space="preserve">Citra </t>
  </si>
  <si>
    <t>Хмел - общо</t>
  </si>
  <si>
    <t xml:space="preserve">Magnum </t>
  </si>
  <si>
    <t>Първа пауза - озахаряване</t>
  </si>
  <si>
    <t>66 °C</t>
  </si>
  <si>
    <t>Бирени Дрожди - общо</t>
  </si>
  <si>
    <t>Втора пауза - озахаряване</t>
  </si>
  <si>
    <t>72 °C</t>
  </si>
  <si>
    <t>Вода за озаряване (Strike Water)</t>
  </si>
  <si>
    <t>Трета пауза - озахаряване</t>
  </si>
  <si>
    <t>78 °C</t>
  </si>
  <si>
    <t>Вода за промиване (Sparge Water)</t>
  </si>
  <si>
    <t>Вода за промиване</t>
  </si>
  <si>
    <t>Вода + малц за озаряване</t>
  </si>
  <si>
    <t>Варене</t>
  </si>
  <si>
    <t>100 °C</t>
  </si>
  <si>
    <t>Абсорбирана вода за 1кг. Малц</t>
  </si>
  <si>
    <t>Dry Hopes</t>
  </si>
  <si>
    <t>Температура на охлаждане</t>
  </si>
  <si>
    <t>20 °C</t>
  </si>
  <si>
    <r>
      <t>Съотношение вода към малц - озахаряване (1:</t>
    </r>
    <r>
      <rPr>
        <b/>
        <sz val="11"/>
        <color rgb="FFFFFF00"/>
        <rFont val="Calibri"/>
        <family val="2"/>
        <charset val="204"/>
        <scheme val="minor"/>
      </rPr>
      <t>?</t>
    </r>
    <r>
      <rPr>
        <sz val="11"/>
        <color theme="1"/>
        <rFont val="Calibri"/>
        <family val="2"/>
        <charset val="204"/>
        <scheme val="minor"/>
      </rPr>
      <t>)</t>
    </r>
  </si>
  <si>
    <t>DRY</t>
  </si>
  <si>
    <t>Време за утаяване</t>
  </si>
  <si>
    <r>
      <t>Съотношение вода към малц - промиване (1:</t>
    </r>
    <r>
      <rPr>
        <b/>
        <sz val="11"/>
        <color rgb="FFFFFF00"/>
        <rFont val="Calibri"/>
        <family val="2"/>
        <charset val="204"/>
        <scheme val="minor"/>
      </rPr>
      <t>?</t>
    </r>
    <r>
      <rPr>
        <sz val="11"/>
        <color theme="1"/>
        <rFont val="Calibri"/>
        <family val="2"/>
        <charset val="204"/>
        <scheme val="minor"/>
      </rPr>
      <t>)</t>
    </r>
  </si>
  <si>
    <t>Очакван начален екстракт (P)</t>
  </si>
  <si>
    <t>К-в вода за озахаряване и промиване + абсорбирана вода</t>
  </si>
  <si>
    <t>Пивна мъст във ферментатора</t>
  </si>
  <si>
    <t>Вода Общо в казана за варене</t>
  </si>
  <si>
    <t>Basic Info</t>
  </si>
  <si>
    <t>EX</t>
  </si>
  <si>
    <t>ME</t>
  </si>
  <si>
    <t>IBU</t>
  </si>
  <si>
    <t>SRM</t>
  </si>
  <si>
    <t>OG</t>
  </si>
  <si>
    <t>FG</t>
  </si>
  <si>
    <t>ABV</t>
  </si>
  <si>
    <t>5.97%</t>
  </si>
  <si>
    <t>Row MALT  - original recipe</t>
  </si>
  <si>
    <t>%  ratio</t>
  </si>
  <si>
    <t>Resized Qty</t>
  </si>
  <si>
    <t>Price</t>
  </si>
  <si>
    <t>Info</t>
  </si>
  <si>
    <t>Цена на ток</t>
  </si>
  <si>
    <t xml:space="preserve">лв./кВтч </t>
  </si>
  <si>
    <t xml:space="preserve">Pilsner Malt (Светъл малц) - Гърция </t>
  </si>
  <si>
    <t>Озахяване 2kW (ел. тенджера)</t>
  </si>
  <si>
    <t xml:space="preserve">CARAAROMA® Карамелен малц </t>
  </si>
  <si>
    <t>Погряване на вода 2kW (бързвовар)</t>
  </si>
  <si>
    <t>CaraPils - malt (Кара-Пилс малц) Вайерман Германия</t>
  </si>
  <si>
    <t>Варене 3kW (два бързвовара 1kW+2kW)</t>
  </si>
  <si>
    <t>Мелене на малц</t>
  </si>
  <si>
    <t>Общо количество:</t>
  </si>
  <si>
    <t>Общо:</t>
  </si>
  <si>
    <t>Row HOPES  - original recipe</t>
  </si>
  <si>
    <t>Price 
50g</t>
  </si>
  <si>
    <t>Price 
Recipe</t>
  </si>
  <si>
    <t>*В горната таблица се смята к-вото вода за озахаряване, вода за промиване, според к-вото малц. Входящи данни: 1. К-во мал; 2. Съотношението на вода към малц за озаряване; 3. Съотношение вода към малц за промиване; 4.Съотношение абсорбирана вода на 1 кг малц.
-----------------------------------------------------------------------
*В долната таблица се въвеждат видове малц и количества според произволно избрана оригинална рецепта и в най-дясната колона се пресмята оразмерена рецепта за к-вото бирена мъст в горната таблица.
* Полетата в зелена гама трябва да равни - проверка на въведените данни.
* Попълват се само полетата в ЖЪЛТО</t>
  </si>
  <si>
    <t>Citra - Американски частен хмел - реколта 2015</t>
  </si>
  <si>
    <t>AA - 12.40</t>
  </si>
  <si>
    <t>Magnum</t>
  </si>
  <si>
    <t>AA - 13.80 /  11.5</t>
  </si>
  <si>
    <t>Total Qty:</t>
  </si>
  <si>
    <t>Row YEASTS  - original recipe</t>
  </si>
  <si>
    <t>Nottingham Ale , насипни 11гр.</t>
  </si>
  <si>
    <t>14 - 21C°</t>
  </si>
  <si>
    <t>Тотал:</t>
  </si>
  <si>
    <t>Спряка -м-лна себестойност на литър и на 0.5 бутилка:</t>
  </si>
  <si>
    <t>Procedure</t>
  </si>
  <si>
    <t>Check</t>
  </si>
  <si>
    <t>c</t>
  </si>
  <si>
    <t>Подготвям цялото оборудване и проверявам дали всичко е по план (дали съм сложил мрежата на лаутертюна, маркучи)</t>
  </si>
  <si>
    <t>Изсипвам всичко от казана в лаутертюна, като първо обирам с гевгир кашата, след това бавно изсипвам водата</t>
  </si>
  <si>
    <t>Под лаутертюна, на канелката съм сложим големия съд за варене (25 литра), в който съм варил преди това и в него изтича бирената мъст</t>
  </si>
  <si>
    <r>
      <t xml:space="preserve">Измервам </t>
    </r>
    <r>
      <rPr>
        <b/>
        <sz val="16"/>
        <color theme="1"/>
        <rFont val="Calibri"/>
        <family val="2"/>
        <charset val="204"/>
        <scheme val="minor"/>
      </rPr>
      <t>ЗАХАРНОСТТА със захаромер,</t>
    </r>
    <r>
      <rPr>
        <sz val="16"/>
        <color theme="1"/>
        <rFont val="Calibri"/>
        <family val="2"/>
        <scheme val="minor"/>
      </rPr>
      <t xml:space="preserve"> след като съм промил всичко и цялата бирена мъст е в казана, охладена на 20</t>
    </r>
    <r>
      <rPr>
        <sz val="16"/>
        <color theme="1"/>
        <rFont val="Symbol"/>
        <family val="1"/>
        <charset val="2"/>
      </rPr>
      <t>°</t>
    </r>
    <r>
      <rPr>
        <sz val="16"/>
        <color theme="1"/>
        <rFont val="Calibri"/>
        <family val="2"/>
        <scheme val="minor"/>
      </rPr>
      <t xml:space="preserve"> </t>
    </r>
  </si>
  <si>
    <r>
      <t xml:space="preserve">През това време измервам </t>
    </r>
    <r>
      <rPr>
        <b/>
        <sz val="16"/>
        <color theme="1"/>
        <rFont val="Calibri"/>
        <family val="2"/>
        <charset val="204"/>
        <scheme val="minor"/>
      </rPr>
      <t>ЗАХАРНОСТТА със захаромер</t>
    </r>
  </si>
  <si>
    <t>Изпомпвам цялата бирена мъст в ферментатора, като започвам с бистрото отгоре от високо за да аерирам</t>
  </si>
  <si>
    <t>След това всичко друго през торбата за филтриране - става бавно</t>
  </si>
  <si>
    <t>Слагам предваително рехидратираните дрожди</t>
  </si>
  <si>
    <t>Раздрусвам съда за ферментиране, за да аерирам (2-3 минути)</t>
  </si>
  <si>
    <t>Наблюдавам процеса в ферменатора в следващите 12 часа, за да видя дали се случва нещо.Ако всичко е  ок след 7 дни преминавам към пълнене</t>
  </si>
  <si>
    <r>
      <t xml:space="preserve">Измервам </t>
    </r>
    <r>
      <rPr>
        <b/>
        <sz val="16"/>
        <color theme="1"/>
        <rFont val="Calibri"/>
        <family val="2"/>
        <charset val="204"/>
        <scheme val="minor"/>
      </rPr>
      <t xml:space="preserve">захарността със захаромер </t>
    </r>
    <r>
      <rPr>
        <sz val="16"/>
        <color theme="1"/>
        <rFont val="Calibri"/>
        <family val="2"/>
        <charset val="204"/>
        <scheme val="minor"/>
      </rPr>
      <t>и смятам по формулата количество алкохол в бирата - ABV</t>
    </r>
  </si>
  <si>
    <t>След това приготвям бутилките(дезинфекцирани)</t>
  </si>
  <si>
    <t>Приготевям нужното к-во захар 5-7 грама на литър, като я разтяврям в същото к-во вода в мирковълнова. Приготвям друг съд с канелка, в койото сипвам малко от бирата (1/3), след това захарния сироп и накрая остатъка (за да се разбъркат)</t>
  </si>
  <si>
    <t>Наливам бирата в бутилтките и затвярам</t>
  </si>
  <si>
    <t>Складирам бутилките за 1 седмица на стайна температура</t>
  </si>
  <si>
    <t>След това една седмица в хладилник за да се разтвори по добре CO2 и да се охладят</t>
  </si>
  <si>
    <t xml:space="preserve"> Home Beer Brewing Scheduler DATE:…………..</t>
  </si>
  <si>
    <t>№</t>
  </si>
  <si>
    <t>Процес</t>
  </si>
  <si>
    <t>Дата</t>
  </si>
  <si>
    <t>ОТ</t>
  </si>
  <si>
    <t>ДО</t>
  </si>
  <si>
    <t>СУМАРНО</t>
  </si>
  <si>
    <t>Проба °P</t>
  </si>
  <si>
    <t>ЗАБЕЛЕЖКА</t>
  </si>
  <si>
    <t>Дезинфекция</t>
  </si>
  <si>
    <t>Озахаравяне</t>
  </si>
  <si>
    <t xml:space="preserve">Започва подгряването </t>
  </si>
  <si>
    <t>Слагам малца</t>
  </si>
  <si>
    <t>Стигна до 67, защото изпуснах водата на 74 вместо 72.</t>
  </si>
  <si>
    <t>Формули</t>
  </si>
  <si>
    <t>Йодна проба ОК</t>
  </si>
  <si>
    <t>Малц</t>
  </si>
  <si>
    <t>Начално P</t>
  </si>
  <si>
    <t>Пивна мъст</t>
  </si>
  <si>
    <t>Добити захари
/Martin/</t>
  </si>
  <si>
    <t>Екстрактивност  %
/Martin/</t>
  </si>
  <si>
    <t>Екстрактивност %
/5th-hokage/</t>
  </si>
  <si>
    <t>ЕФЕКТИВНОСТ %</t>
  </si>
  <si>
    <t>Чакам да стигне 78 и заповам промиването, междувременно съм подгрял 24.5 литра вода за промиване.</t>
  </si>
  <si>
    <t>Промиване</t>
  </si>
  <si>
    <t>1</t>
  </si>
  <si>
    <t>Започва промиването</t>
  </si>
  <si>
    <t>2</t>
  </si>
  <si>
    <t>Все още се промива, цялата вода е вътре</t>
  </si>
  <si>
    <t>3</t>
  </si>
  <si>
    <t>4</t>
  </si>
  <si>
    <t>Захарност, охалдена преди варенето на 20 градуса.</t>
  </si>
  <si>
    <t>13P</t>
  </si>
  <si>
    <t>Варене и охмеляване</t>
  </si>
  <si>
    <t>Започва варенето, измерена с рулетка им 33,5 литра в казана, очаквано беше 36,8 литра. Има загуба от  3 литра.</t>
  </si>
  <si>
    <t>Започва охлаждането, водата е 30,5 литра.</t>
  </si>
  <si>
    <t>Охладена до 20 градуса</t>
  </si>
  <si>
    <t>Захарност след варене, на 18 градуса</t>
  </si>
  <si>
    <t>14.8P</t>
  </si>
  <si>
    <t>5</t>
  </si>
  <si>
    <t>6</t>
  </si>
  <si>
    <t>7</t>
  </si>
  <si>
    <t>Филтриране</t>
  </si>
  <si>
    <t>Ферментиране</t>
  </si>
  <si>
    <t>Преварен женски чорап и ОКОРОН  и лъжица въре, В малкия ферментатор не потъна, в големия сложих 3 лъжици и потъна</t>
  </si>
  <si>
    <t>Булилиране</t>
  </si>
  <si>
    <t>Сумарно: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</si>
</sst>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0&quot; min&quot;"/>
    <numFmt numFmtId="165" formatCode="0.00&quot; кг&quot;"/>
    <numFmt numFmtId="166" formatCode="0&quot; гр&quot;"/>
    <numFmt numFmtId="167" formatCode="0.00&quot; г&quot;"/>
    <numFmt numFmtId="168" formatCode="0&quot; г&quot;"/>
    <numFmt numFmtId="169" formatCode="0.000&quot; л&quot;"/>
    <numFmt numFmtId="170" formatCode="0.0&quot; л&quot;"/>
    <numFmt numFmtId="171" formatCode="0.000%"/>
    <numFmt numFmtId="172" formatCode="0&quot; л&quot;"/>
    <numFmt numFmtId="173" formatCode="0.00&quot; л&quot;"/>
    <numFmt numFmtId="174" formatCode="#,##0.00\ &quot;лв.&quot;"/>
    <numFmt numFmtId="175" formatCode="0&quot; kWh&quot;"/>
    <numFmt numFmtId="176" formatCode="hh:mm:ss;@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26"/>
      <color theme="1"/>
      <name val="AR DARLING"/>
    </font>
    <font>
      <b/>
      <sz val="26"/>
      <color theme="1"/>
      <name val="AR DARLING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14"/>
      <color theme="1"/>
      <name val="AR DARLING"/>
    </font>
    <font>
      <sz val="14"/>
      <color theme="1"/>
      <name val="AR DARLING"/>
    </font>
    <font>
      <sz val="10"/>
      <color theme="1"/>
      <name val="Calibri"/>
      <family val="2"/>
      <scheme val="minor"/>
    </font>
    <font>
      <sz val="12"/>
      <color theme="1"/>
      <name val="AR DARLING"/>
    </font>
    <font>
      <sz val="11"/>
      <color theme="1"/>
      <name val="AR DARLING"/>
    </font>
    <font>
      <b/>
      <sz val="11"/>
      <color rgb="FFFF0000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rgb="FFFFFF00"/>
      <name val="Calibri"/>
      <family val="2"/>
      <charset val="204"/>
      <scheme val="minor"/>
    </font>
    <font>
      <b/>
      <sz val="12"/>
      <color theme="1"/>
      <name val="AR DARLING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b/>
      <sz val="16"/>
      <color theme="1"/>
      <name val="AR DARLING"/>
    </font>
    <font>
      <b/>
      <sz val="11"/>
      <color theme="1"/>
      <name val="AR DARLING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scheme val="minor"/>
    </font>
    <font>
      <sz val="16"/>
      <color theme="1"/>
      <name val="Webdings"/>
      <family val="1"/>
      <charset val="2"/>
    </font>
    <font>
      <sz val="16"/>
      <color theme="1"/>
      <name val="Symbol"/>
      <family val="1"/>
      <charset val="2"/>
    </font>
    <font>
      <sz val="16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left" vertical="center"/>
    </xf>
    <xf numFmtId="0" fontId="6" fillId="2" borderId="8" xfId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10" fillId="4" borderId="13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11" fillId="5" borderId="1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left" wrapText="1"/>
    </xf>
    <xf numFmtId="0" fontId="12" fillId="0" borderId="14" xfId="0" applyFont="1" applyFill="1" applyBorder="1" applyAlignment="1">
      <alignment horizontal="center" vertical="center"/>
    </xf>
    <xf numFmtId="164" fontId="0" fillId="0" borderId="19" xfId="0" applyNumberFormat="1" applyFill="1" applyBorder="1" applyAlignment="1">
      <alignment horizontal="center" vertical="center"/>
    </xf>
    <xf numFmtId="0" fontId="9" fillId="0" borderId="2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21" xfId="0" applyFont="1" applyBorder="1" applyAlignment="1">
      <alignment horizontal="left" vertical="top" wrapText="1"/>
    </xf>
    <xf numFmtId="0" fontId="2" fillId="6" borderId="22" xfId="0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vertical="center"/>
    </xf>
    <xf numFmtId="165" fontId="2" fillId="3" borderId="23" xfId="0" applyNumberFormat="1" applyFont="1" applyFill="1" applyBorder="1" applyAlignment="1">
      <alignment horizontal="center" vertical="center"/>
    </xf>
    <xf numFmtId="165" fontId="1" fillId="6" borderId="23" xfId="0" applyNumberFormat="1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3" fillId="7" borderId="25" xfId="0" applyFont="1" applyFill="1" applyBorder="1" applyAlignment="1">
      <alignment vertical="center" wrapText="1"/>
    </xf>
    <xf numFmtId="0" fontId="13" fillId="7" borderId="26" xfId="0" applyFont="1" applyFill="1" applyBorder="1" applyAlignment="1">
      <alignment vertical="center" wrapText="1"/>
    </xf>
    <xf numFmtId="166" fontId="13" fillId="7" borderId="23" xfId="0" applyNumberFormat="1" applyFont="1" applyFill="1" applyBorder="1" applyAlignment="1">
      <alignment horizontal="center" vertical="center" wrapText="1"/>
    </xf>
    <xf numFmtId="164" fontId="13" fillId="7" borderId="23" xfId="0" applyNumberFormat="1" applyFont="1" applyFill="1" applyBorder="1" applyAlignment="1">
      <alignment horizontal="center" vertical="center" wrapText="1"/>
    </xf>
    <xf numFmtId="164" fontId="14" fillId="8" borderId="24" xfId="0" applyNumberFormat="1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left" wrapText="1"/>
    </xf>
    <xf numFmtId="0" fontId="12" fillId="0" borderId="23" xfId="0" applyFont="1" applyFill="1" applyBorder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167" fontId="2" fillId="9" borderId="23" xfId="0" applyNumberFormat="1" applyFont="1" applyFill="1" applyBorder="1" applyAlignment="1">
      <alignment horizontal="center" vertical="center"/>
    </xf>
    <xf numFmtId="168" fontId="1" fillId="6" borderId="23" xfId="0" applyNumberFormat="1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left"/>
    </xf>
    <xf numFmtId="0" fontId="2" fillId="0" borderId="23" xfId="0" applyFont="1" applyFill="1" applyBorder="1" applyAlignment="1">
      <alignment horizontal="center"/>
    </xf>
    <xf numFmtId="164" fontId="0" fillId="0" borderId="24" xfId="0" applyNumberFormat="1" applyFill="1" applyBorder="1" applyAlignment="1">
      <alignment horizontal="center"/>
    </xf>
    <xf numFmtId="167" fontId="2" fillId="10" borderId="23" xfId="0" applyNumberFormat="1" applyFont="1" applyFill="1" applyBorder="1" applyAlignment="1">
      <alignment horizontal="center" vertical="center"/>
    </xf>
    <xf numFmtId="169" fontId="1" fillId="6" borderId="23" xfId="0" applyNumberFormat="1" applyFont="1" applyFill="1" applyBorder="1" applyAlignment="1">
      <alignment horizontal="center" vertical="center"/>
    </xf>
    <xf numFmtId="170" fontId="1" fillId="6" borderId="23" xfId="0" applyNumberFormat="1" applyFont="1" applyFill="1" applyBorder="1" applyAlignment="1">
      <alignment horizontal="center" vertical="center"/>
    </xf>
    <xf numFmtId="171" fontId="1" fillId="6" borderId="24" xfId="0" applyNumberFormat="1" applyFont="1" applyFill="1" applyBorder="1" applyAlignment="1">
      <alignment horizontal="center" vertical="center"/>
    </xf>
    <xf numFmtId="0" fontId="13" fillId="7" borderId="25" xfId="0" applyFont="1" applyFill="1" applyBorder="1" applyAlignment="1">
      <alignment horizontal="left" vertical="center" wrapText="1"/>
    </xf>
    <xf numFmtId="0" fontId="13" fillId="7" borderId="26" xfId="0" applyFont="1" applyFill="1" applyBorder="1" applyAlignment="1">
      <alignment horizontal="left" vertical="center" wrapText="1"/>
    </xf>
    <xf numFmtId="166" fontId="13" fillId="7" borderId="23" xfId="0" applyNumberFormat="1" applyFont="1" applyFill="1" applyBorder="1" applyAlignment="1">
      <alignment vertical="center" wrapText="1"/>
    </xf>
    <xf numFmtId="0" fontId="1" fillId="0" borderId="27" xfId="0" applyFont="1" applyFill="1" applyBorder="1" applyAlignment="1">
      <alignment horizontal="left"/>
    </xf>
    <xf numFmtId="0" fontId="13" fillId="7" borderId="25" xfId="0" applyFont="1" applyFill="1" applyBorder="1" applyAlignment="1">
      <alignment horizontal="left" vertical="center" wrapText="1"/>
    </xf>
    <xf numFmtId="0" fontId="13" fillId="7" borderId="26" xfId="0" applyFont="1" applyFill="1" applyBorder="1" applyAlignment="1">
      <alignment horizontal="left" vertical="center" wrapText="1"/>
    </xf>
    <xf numFmtId="0" fontId="1" fillId="6" borderId="23" xfId="0" applyFont="1" applyFill="1" applyBorder="1" applyAlignment="1">
      <alignment vertical="center" wrapText="1"/>
    </xf>
    <xf numFmtId="0" fontId="2" fillId="7" borderId="23" xfId="0" applyNumberFormat="1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4" fillId="8" borderId="24" xfId="0" applyFont="1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2" fillId="6" borderId="25" xfId="0" applyFont="1" applyFill="1" applyBorder="1" applyAlignment="1">
      <alignment horizontal="left" vertical="center"/>
    </xf>
    <xf numFmtId="0" fontId="2" fillId="6" borderId="26" xfId="0" applyFont="1" applyFill="1" applyBorder="1" applyAlignment="1">
      <alignment horizontal="left" vertical="center"/>
    </xf>
    <xf numFmtId="169" fontId="2" fillId="6" borderId="23" xfId="0" applyNumberFormat="1" applyFont="1" applyFill="1" applyBorder="1" applyAlignment="1">
      <alignment horizontal="center" vertical="center"/>
    </xf>
    <xf numFmtId="1" fontId="2" fillId="6" borderId="23" xfId="0" applyNumberFormat="1" applyFont="1" applyFill="1" applyBorder="1" applyAlignment="1">
      <alignment horizontal="center" vertical="center"/>
    </xf>
    <xf numFmtId="0" fontId="0" fillId="0" borderId="28" xfId="0" applyBorder="1"/>
    <xf numFmtId="172" fontId="0" fillId="0" borderId="29" xfId="0" applyNumberFormat="1" applyBorder="1"/>
    <xf numFmtId="164" fontId="0" fillId="0" borderId="30" xfId="0" applyNumberFormat="1" applyFill="1" applyBorder="1" applyAlignment="1">
      <alignment horizontal="center"/>
    </xf>
    <xf numFmtId="0" fontId="2" fillId="6" borderId="31" xfId="0" applyFont="1" applyFill="1" applyBorder="1" applyAlignment="1">
      <alignment horizontal="left" vertical="center"/>
    </xf>
    <xf numFmtId="0" fontId="2" fillId="6" borderId="32" xfId="0" applyFont="1" applyFill="1" applyBorder="1" applyAlignment="1">
      <alignment horizontal="left" vertical="center"/>
    </xf>
    <xf numFmtId="173" fontId="2" fillId="6" borderId="29" xfId="0" applyNumberFormat="1" applyFont="1" applyFill="1" applyBorder="1" applyAlignment="1">
      <alignment horizontal="center" vertical="center"/>
    </xf>
    <xf numFmtId="1" fontId="2" fillId="6" borderId="29" xfId="0" applyNumberFormat="1" applyFont="1" applyFill="1" applyBorder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14" fillId="8" borderId="33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2" fillId="11" borderId="23" xfId="0" applyFont="1" applyFill="1" applyBorder="1" applyAlignment="1">
      <alignment horizontal="left" vertical="center"/>
    </xf>
    <xf numFmtId="173" fontId="2" fillId="11" borderId="23" xfId="0" applyNumberFormat="1" applyFont="1" applyFill="1" applyBorder="1" applyAlignment="1">
      <alignment horizontal="center" vertical="center"/>
    </xf>
    <xf numFmtId="1" fontId="2" fillId="11" borderId="23" xfId="0" applyNumberFormat="1" applyFont="1" applyFill="1" applyBorder="1" applyAlignment="1">
      <alignment horizontal="center" vertical="center"/>
    </xf>
    <xf numFmtId="0" fontId="1" fillId="11" borderId="23" xfId="0" applyFont="1" applyFill="1" applyBorder="1" applyAlignment="1">
      <alignment horizontal="center" vertical="center"/>
    </xf>
    <xf numFmtId="0" fontId="13" fillId="7" borderId="34" xfId="0" applyFont="1" applyFill="1" applyBorder="1" applyAlignment="1">
      <alignment horizontal="left" vertical="center" wrapText="1"/>
    </xf>
    <xf numFmtId="0" fontId="0" fillId="12" borderId="22" xfId="0" applyFill="1" applyBorder="1" applyAlignment="1">
      <alignment horizontal="left"/>
    </xf>
    <xf numFmtId="0" fontId="0" fillId="12" borderId="23" xfId="0" applyFill="1" applyBorder="1" applyAlignment="1">
      <alignment horizontal="center"/>
    </xf>
    <xf numFmtId="0" fontId="0" fillId="12" borderId="24" xfId="0" applyFill="1" applyBorder="1" applyAlignment="1">
      <alignment horizontal="center"/>
    </xf>
    <xf numFmtId="0" fontId="0" fillId="12" borderId="35" xfId="0" applyFill="1" applyBorder="1" applyAlignment="1">
      <alignment horizontal="left"/>
    </xf>
    <xf numFmtId="0" fontId="0" fillId="12" borderId="36" xfId="0" applyFill="1" applyBorder="1" applyAlignment="1">
      <alignment horizontal="center"/>
    </xf>
    <xf numFmtId="0" fontId="16" fillId="12" borderId="37" xfId="0" applyFont="1" applyFill="1" applyBorder="1" applyAlignment="1">
      <alignment horizontal="center"/>
    </xf>
    <xf numFmtId="0" fontId="11" fillId="4" borderId="18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1" fillId="4" borderId="40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0" fillId="13" borderId="13" xfId="0" applyFont="1" applyFill="1" applyBorder="1" applyAlignment="1">
      <alignment vertical="center"/>
    </xf>
    <xf numFmtId="0" fontId="17" fillId="13" borderId="14" xfId="0" applyNumberFormat="1" applyFont="1" applyFill="1" applyBorder="1" applyAlignment="1">
      <alignment vertical="center"/>
    </xf>
    <xf numFmtId="164" fontId="0" fillId="13" borderId="15" xfId="0" applyNumberFormat="1" applyFont="1" applyFill="1" applyBorder="1" applyAlignment="1">
      <alignment horizontal="center" vertical="center"/>
    </xf>
    <xf numFmtId="0" fontId="1" fillId="6" borderId="22" xfId="0" applyFont="1" applyFill="1" applyBorder="1"/>
    <xf numFmtId="0" fontId="2" fillId="7" borderId="23" xfId="0" applyFont="1" applyFill="1" applyBorder="1"/>
    <xf numFmtId="10" fontId="1" fillId="6" borderId="23" xfId="0" applyNumberFormat="1" applyFont="1" applyFill="1" applyBorder="1"/>
    <xf numFmtId="2" fontId="12" fillId="6" borderId="33" xfId="0" applyNumberFormat="1" applyFont="1" applyFill="1" applyBorder="1"/>
    <xf numFmtId="174" fontId="2" fillId="7" borderId="33" xfId="0" applyNumberFormat="1" applyFont="1" applyFill="1" applyBorder="1"/>
    <xf numFmtId="174" fontId="2" fillId="7" borderId="23" xfId="0" applyNumberFormat="1" applyFont="1" applyFill="1" applyBorder="1" applyAlignment="1">
      <alignment horizontal="center"/>
    </xf>
    <xf numFmtId="174" fontId="2" fillId="7" borderId="24" xfId="0" applyNumberFormat="1" applyFont="1" applyFill="1" applyBorder="1" applyAlignment="1">
      <alignment horizontal="center"/>
    </xf>
    <xf numFmtId="0" fontId="0" fillId="13" borderId="22" xfId="0" applyFont="1" applyFill="1" applyBorder="1" applyAlignment="1">
      <alignment vertical="center"/>
    </xf>
    <xf numFmtId="0" fontId="0" fillId="13" borderId="23" xfId="0" applyNumberFormat="1" applyFont="1" applyFill="1" applyBorder="1" applyAlignment="1">
      <alignment vertical="center"/>
    </xf>
    <xf numFmtId="175" fontId="0" fillId="13" borderId="24" xfId="0" applyNumberFormat="1" applyFont="1" applyFill="1" applyBorder="1" applyAlignment="1">
      <alignment horizontal="center" vertical="center"/>
    </xf>
    <xf numFmtId="0" fontId="1" fillId="6" borderId="25" xfId="0" applyFont="1" applyFill="1" applyBorder="1"/>
    <xf numFmtId="0" fontId="2" fillId="7" borderId="26" xfId="0" applyFont="1" applyFill="1" applyBorder="1"/>
    <xf numFmtId="174" fontId="2" fillId="7" borderId="41" xfId="0" applyNumberFormat="1" applyFont="1" applyFill="1" applyBorder="1"/>
    <xf numFmtId="174" fontId="2" fillId="7" borderId="23" xfId="0" applyNumberFormat="1" applyFont="1" applyFill="1" applyBorder="1"/>
    <xf numFmtId="0" fontId="0" fillId="13" borderId="28" xfId="0" applyFont="1" applyFill="1" applyBorder="1" applyAlignment="1">
      <alignment vertical="center"/>
    </xf>
    <xf numFmtId="0" fontId="0" fillId="13" borderId="29" xfId="0" applyNumberFormat="1" applyFont="1" applyFill="1" applyBorder="1" applyAlignment="1">
      <alignment vertical="center"/>
    </xf>
    <xf numFmtId="175" fontId="0" fillId="13" borderId="30" xfId="0" applyNumberFormat="1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right"/>
    </xf>
    <xf numFmtId="0" fontId="2" fillId="6" borderId="26" xfId="0" applyFont="1" applyFill="1" applyBorder="1" applyAlignment="1">
      <alignment horizontal="right"/>
    </xf>
    <xf numFmtId="0" fontId="1" fillId="6" borderId="23" xfId="0" applyFont="1" applyFill="1" applyBorder="1"/>
    <xf numFmtId="2" fontId="12" fillId="3" borderId="33" xfId="0" applyNumberFormat="1" applyFont="1" applyFill="1" applyBorder="1"/>
    <xf numFmtId="174" fontId="2" fillId="2" borderId="42" xfId="0" applyNumberFormat="1" applyFont="1" applyFill="1" applyBorder="1" applyAlignment="1">
      <alignment horizontal="right" vertical="center" wrapText="1"/>
    </xf>
    <xf numFmtId="174" fontId="2" fillId="2" borderId="43" xfId="0" applyNumberFormat="1" applyFont="1" applyFill="1" applyBorder="1" applyAlignment="1">
      <alignment horizontal="right" vertical="center" wrapText="1"/>
    </xf>
    <xf numFmtId="174" fontId="2" fillId="2" borderId="23" xfId="0" applyNumberFormat="1" applyFont="1" applyFill="1" applyBorder="1" applyAlignment="1">
      <alignment horizontal="center" vertical="center" wrapText="1"/>
    </xf>
    <xf numFmtId="174" fontId="2" fillId="2" borderId="24" xfId="0" applyNumberFormat="1" applyFont="1" applyFill="1" applyBorder="1" applyAlignment="1">
      <alignment horizontal="center" vertical="center" wrapText="1"/>
    </xf>
    <xf numFmtId="0" fontId="0" fillId="13" borderId="35" xfId="0" applyFont="1" applyFill="1" applyBorder="1" applyAlignment="1">
      <alignment vertical="center"/>
    </xf>
    <xf numFmtId="0" fontId="18" fillId="13" borderId="36" xfId="0" applyNumberFormat="1" applyFont="1" applyFill="1" applyBorder="1" applyAlignment="1">
      <alignment horizontal="right" vertical="center"/>
    </xf>
    <xf numFmtId="0" fontId="18" fillId="13" borderId="37" xfId="0" applyNumberFormat="1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0" fontId="19" fillId="14" borderId="31" xfId="0" applyFont="1" applyFill="1" applyBorder="1" applyAlignment="1">
      <alignment horizontal="center" vertical="center" wrapText="1"/>
    </xf>
    <xf numFmtId="0" fontId="19" fillId="14" borderId="45" xfId="0" applyFont="1" applyFill="1" applyBorder="1" applyAlignment="1">
      <alignment horizontal="center" vertical="center" wrapText="1"/>
    </xf>
    <xf numFmtId="0" fontId="19" fillId="14" borderId="46" xfId="0" applyFont="1" applyFill="1" applyBorder="1" applyAlignment="1">
      <alignment horizontal="center" vertical="center" wrapText="1"/>
    </xf>
    <xf numFmtId="0" fontId="19" fillId="14" borderId="20" xfId="0" applyFont="1" applyFill="1" applyBorder="1" applyAlignment="1">
      <alignment horizontal="center" vertical="center" wrapText="1"/>
    </xf>
    <xf numFmtId="0" fontId="19" fillId="14" borderId="0" xfId="0" applyFont="1" applyFill="1" applyBorder="1" applyAlignment="1">
      <alignment horizontal="center" vertical="center" wrapText="1"/>
    </xf>
    <xf numFmtId="0" fontId="19" fillId="14" borderId="21" xfId="0" applyFont="1" applyFill="1" applyBorder="1" applyAlignment="1">
      <alignment horizontal="center" vertical="center" wrapText="1"/>
    </xf>
    <xf numFmtId="174" fontId="2" fillId="7" borderId="33" xfId="0" applyNumberFormat="1" applyFont="1" applyFill="1" applyBorder="1" applyAlignment="1">
      <alignment horizontal="center"/>
    </xf>
    <xf numFmtId="174" fontId="2" fillId="7" borderId="34" xfId="0" applyNumberFormat="1" applyFont="1" applyFill="1" applyBorder="1" applyAlignment="1">
      <alignment horizontal="center"/>
    </xf>
    <xf numFmtId="174" fontId="2" fillId="7" borderId="47" xfId="0" applyNumberFormat="1" applyFont="1" applyFill="1" applyBorder="1" applyAlignment="1">
      <alignment horizontal="center"/>
    </xf>
    <xf numFmtId="2" fontId="12" fillId="9" borderId="33" xfId="0" applyNumberFormat="1" applyFont="1" applyFill="1" applyBorder="1"/>
    <xf numFmtId="0" fontId="11" fillId="4" borderId="6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44" xfId="0" applyFont="1" applyFill="1" applyBorder="1" applyAlignment="1">
      <alignment horizontal="center" vertical="center" wrapText="1"/>
    </xf>
    <xf numFmtId="174" fontId="2" fillId="7" borderId="33" xfId="0" applyNumberFormat="1" applyFont="1" applyFill="1" applyBorder="1" applyAlignment="1"/>
    <xf numFmtId="174" fontId="2" fillId="7" borderId="26" xfId="0" applyNumberFormat="1" applyFont="1" applyFill="1" applyBorder="1" applyAlignment="1"/>
    <xf numFmtId="0" fontId="2" fillId="6" borderId="48" xfId="0" applyFont="1" applyFill="1" applyBorder="1" applyAlignment="1">
      <alignment horizontal="right"/>
    </xf>
    <xf numFmtId="0" fontId="2" fillId="6" borderId="43" xfId="0" applyFont="1" applyFill="1" applyBorder="1" applyAlignment="1">
      <alignment horizontal="right"/>
    </xf>
    <xf numFmtId="0" fontId="1" fillId="6" borderId="36" xfId="0" applyFont="1" applyFill="1" applyBorder="1"/>
    <xf numFmtId="10" fontId="1" fillId="6" borderId="36" xfId="0" applyNumberFormat="1" applyFont="1" applyFill="1" applyBorder="1"/>
    <xf numFmtId="2" fontId="12" fillId="10" borderId="42" xfId="0" applyNumberFormat="1" applyFont="1" applyFill="1" applyBorder="1"/>
    <xf numFmtId="174" fontId="2" fillId="2" borderId="36" xfId="0" applyNumberFormat="1" applyFont="1" applyFill="1" applyBorder="1" applyAlignment="1">
      <alignment vertical="center" wrapText="1"/>
    </xf>
    <xf numFmtId="174" fontId="2" fillId="2" borderId="37" xfId="0" applyNumberFormat="1" applyFont="1" applyFill="1" applyBorder="1" applyAlignment="1">
      <alignment vertical="center" wrapText="1"/>
    </xf>
    <xf numFmtId="0" fontId="19" fillId="14" borderId="49" xfId="0" applyFont="1" applyFill="1" applyBorder="1" applyAlignment="1">
      <alignment horizontal="center" vertical="center" wrapText="1"/>
    </xf>
    <xf numFmtId="0" fontId="19" fillId="14" borderId="50" xfId="0" applyFont="1" applyFill="1" applyBorder="1" applyAlignment="1">
      <alignment horizontal="center" vertical="center" wrapText="1"/>
    </xf>
    <xf numFmtId="0" fontId="19" fillId="14" borderId="5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/>
    <xf numFmtId="0" fontId="2" fillId="0" borderId="2" xfId="0" applyFont="1" applyBorder="1" applyAlignment="1">
      <alignment horizontal="right" vertical="center"/>
    </xf>
    <xf numFmtId="174" fontId="2" fillId="2" borderId="2" xfId="0" applyNumberFormat="1" applyFont="1" applyFill="1" applyBorder="1" applyAlignment="1">
      <alignment horizontal="right"/>
    </xf>
    <xf numFmtId="174" fontId="2" fillId="2" borderId="3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174" fontId="0" fillId="2" borderId="52" xfId="0" applyNumberFormat="1" applyFill="1" applyBorder="1"/>
    <xf numFmtId="0" fontId="20" fillId="7" borderId="53" xfId="0" applyFont="1" applyFill="1" applyBorder="1" applyAlignment="1">
      <alignment horizontal="center" vertical="center"/>
    </xf>
    <xf numFmtId="0" fontId="20" fillId="7" borderId="38" xfId="0" applyFont="1" applyFill="1" applyBorder="1" applyAlignment="1">
      <alignment horizontal="center" vertical="center"/>
    </xf>
    <xf numFmtId="0" fontId="21" fillId="7" borderId="8" xfId="0" applyFont="1" applyFill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3" fillId="0" borderId="33" xfId="0" applyFont="1" applyBorder="1" applyAlignment="1">
      <alignment vertical="top" wrapText="1"/>
    </xf>
    <xf numFmtId="0" fontId="23" fillId="0" borderId="34" xfId="0" applyFont="1" applyBorder="1" applyAlignment="1">
      <alignment vertical="top" wrapText="1"/>
    </xf>
    <xf numFmtId="0" fontId="24" fillId="0" borderId="24" xfId="0" applyFont="1" applyBorder="1" applyAlignment="1">
      <alignment horizontal="center" vertical="center" wrapText="1"/>
    </xf>
    <xf numFmtId="0" fontId="23" fillId="0" borderId="0" xfId="0" applyFont="1"/>
    <xf numFmtId="0" fontId="23" fillId="0" borderId="33" xfId="0" applyFont="1" applyBorder="1" applyAlignment="1">
      <alignment horizontal="left" vertical="top" wrapText="1"/>
    </xf>
    <xf numFmtId="0" fontId="23" fillId="0" borderId="34" xfId="0" applyFont="1" applyBorder="1" applyAlignment="1">
      <alignment horizontal="left" vertical="top" wrapText="1"/>
    </xf>
    <xf numFmtId="0" fontId="23" fillId="0" borderId="26" xfId="0" applyFont="1" applyBorder="1" applyAlignment="1">
      <alignment horizontal="left" vertical="top" wrapText="1"/>
    </xf>
    <xf numFmtId="0" fontId="23" fillId="0" borderId="0" xfId="0" applyNumberFormat="1" applyFont="1"/>
    <xf numFmtId="0" fontId="22" fillId="0" borderId="33" xfId="0" applyFont="1" applyBorder="1" applyAlignment="1">
      <alignment vertical="top" wrapText="1"/>
    </xf>
    <xf numFmtId="0" fontId="22" fillId="0" borderId="34" xfId="0" applyFont="1" applyBorder="1" applyAlignment="1">
      <alignment vertical="top" wrapText="1"/>
    </xf>
    <xf numFmtId="0" fontId="22" fillId="0" borderId="35" xfId="0" applyFont="1" applyBorder="1" applyAlignment="1">
      <alignment horizontal="center" vertical="center"/>
    </xf>
    <xf numFmtId="0" fontId="23" fillId="0" borderId="42" xfId="0" applyFont="1" applyBorder="1" applyAlignment="1">
      <alignment vertical="top" wrapText="1"/>
    </xf>
    <xf numFmtId="0" fontId="23" fillId="0" borderId="54" xfId="0" applyFont="1" applyBorder="1" applyAlignment="1">
      <alignment vertical="top" wrapText="1"/>
    </xf>
    <xf numFmtId="0" fontId="24" fillId="0" borderId="3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NumberFormat="1"/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9" fontId="2" fillId="15" borderId="22" xfId="0" applyNumberFormat="1" applyFont="1" applyFill="1" applyBorder="1" applyAlignment="1">
      <alignment horizontal="center" vertical="center"/>
    </xf>
    <xf numFmtId="0" fontId="2" fillId="15" borderId="23" xfId="0" applyFont="1" applyFill="1" applyBorder="1" applyAlignment="1">
      <alignment horizontal="center" vertical="center"/>
    </xf>
    <xf numFmtId="0" fontId="2" fillId="15" borderId="23" xfId="0" applyNumberFormat="1" applyFont="1" applyFill="1" applyBorder="1" applyAlignment="1">
      <alignment horizontal="center" vertical="center"/>
    </xf>
    <xf numFmtId="0" fontId="2" fillId="15" borderId="23" xfId="0" applyFont="1" applyFill="1" applyBorder="1" applyAlignment="1">
      <alignment horizontal="center" vertical="top" wrapText="1"/>
    </xf>
    <xf numFmtId="0" fontId="2" fillId="15" borderId="24" xfId="0" applyFont="1" applyFill="1" applyBorder="1" applyAlignment="1">
      <alignment horizontal="center" vertical="top" wrapText="1"/>
    </xf>
    <xf numFmtId="0" fontId="2" fillId="15" borderId="22" xfId="0" applyFont="1" applyFill="1" applyBorder="1" applyAlignment="1">
      <alignment horizontal="center"/>
    </xf>
    <xf numFmtId="0" fontId="2" fillId="15" borderId="23" xfId="0" applyFont="1" applyFill="1" applyBorder="1" applyAlignment="1">
      <alignment horizontal="center"/>
    </xf>
    <xf numFmtId="0" fontId="2" fillId="15" borderId="24" xfId="0" applyFont="1" applyFill="1" applyBorder="1" applyAlignment="1">
      <alignment horizontal="center"/>
    </xf>
    <xf numFmtId="49" fontId="2" fillId="0" borderId="22" xfId="0" applyNumberFormat="1" applyFont="1" applyBorder="1" applyAlignment="1">
      <alignment horizontal="center" vertical="center"/>
    </xf>
    <xf numFmtId="0" fontId="0" fillId="0" borderId="23" xfId="0" applyBorder="1" applyAlignment="1">
      <alignment vertical="center"/>
    </xf>
    <xf numFmtId="14" fontId="0" fillId="0" borderId="23" xfId="0" applyNumberFormat="1" applyBorder="1" applyAlignment="1">
      <alignment horizontal="center" vertical="center"/>
    </xf>
    <xf numFmtId="176" fontId="0" fillId="0" borderId="23" xfId="0" applyNumberFormat="1" applyBorder="1" applyAlignment="1">
      <alignment horizontal="center" vertical="center"/>
    </xf>
    <xf numFmtId="176" fontId="2" fillId="0" borderId="23" xfId="0" applyNumberFormat="1" applyFon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0" fillId="0" borderId="23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9" fillId="0" borderId="49" xfId="0" applyFont="1" applyBorder="1" applyAlignment="1">
      <alignment horizontal="left" vertical="top" wrapText="1"/>
    </xf>
    <xf numFmtId="0" fontId="9" fillId="0" borderId="50" xfId="0" applyFont="1" applyBorder="1" applyAlignment="1">
      <alignment horizontal="left" vertical="top" wrapText="1"/>
    </xf>
    <xf numFmtId="0" fontId="9" fillId="0" borderId="51" xfId="0" applyFont="1" applyBorder="1" applyAlignment="1">
      <alignment horizontal="left" vertical="top" wrapText="1"/>
    </xf>
    <xf numFmtId="20" fontId="0" fillId="0" borderId="23" xfId="0" applyNumberFormat="1" applyBorder="1" applyAlignment="1">
      <alignment horizontal="center" vertical="center"/>
    </xf>
    <xf numFmtId="0" fontId="27" fillId="3" borderId="6" xfId="0" applyFont="1" applyFill="1" applyBorder="1" applyAlignment="1">
      <alignment horizontal="center" vertical="center" wrapText="1"/>
    </xf>
    <xf numFmtId="0" fontId="27" fillId="3" borderId="7" xfId="0" applyFont="1" applyFill="1" applyBorder="1" applyAlignment="1">
      <alignment horizontal="center" vertical="center" wrapText="1"/>
    </xf>
    <xf numFmtId="0" fontId="27" fillId="3" borderId="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7" borderId="2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176" fontId="1" fillId="0" borderId="23" xfId="0" applyNumberFormat="1" applyFont="1" applyBorder="1" applyAlignment="1">
      <alignment horizontal="center" vertical="center"/>
    </xf>
    <xf numFmtId="165" fontId="0" fillId="0" borderId="35" xfId="0" applyNumberForma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6" xfId="0" applyBorder="1" applyAlignment="1">
      <alignment horizontal="center"/>
    </xf>
    <xf numFmtId="0" fontId="2" fillId="16" borderId="36" xfId="0" applyFont="1" applyFill="1" applyBorder="1" applyAlignment="1">
      <alignment horizontal="center"/>
    </xf>
    <xf numFmtId="2" fontId="2" fillId="16" borderId="36" xfId="0" applyNumberFormat="1" applyFont="1" applyFill="1" applyBorder="1" applyAlignment="1">
      <alignment horizontal="center"/>
    </xf>
    <xf numFmtId="2" fontId="2" fillId="7" borderId="37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 vertical="top" wrapText="1"/>
    </xf>
    <xf numFmtId="0" fontId="0" fillId="0" borderId="24" xfId="0" applyBorder="1" applyAlignment="1">
      <alignment horizontal="center" vertical="top" wrapText="1"/>
    </xf>
    <xf numFmtId="0" fontId="2" fillId="0" borderId="23" xfId="0" applyFont="1" applyBorder="1" applyAlignment="1">
      <alignment vertical="center"/>
    </xf>
    <xf numFmtId="0" fontId="0" fillId="0" borderId="23" xfId="0" applyBorder="1" applyAlignment="1">
      <alignment horizontal="center" vertical="center"/>
    </xf>
    <xf numFmtId="49" fontId="2" fillId="15" borderId="35" xfId="0" applyNumberFormat="1" applyFont="1" applyFill="1" applyBorder="1" applyAlignment="1">
      <alignment horizontal="center" vertical="center"/>
    </xf>
    <xf numFmtId="49" fontId="2" fillId="15" borderId="36" xfId="0" applyNumberFormat="1" applyFont="1" applyFill="1" applyBorder="1" applyAlignment="1">
      <alignment horizontal="center" vertical="center"/>
    </xf>
    <xf numFmtId="176" fontId="2" fillId="15" borderId="36" xfId="0" applyNumberFormat="1" applyFont="1" applyFill="1" applyBorder="1" applyAlignment="1">
      <alignment vertical="center"/>
    </xf>
    <xf numFmtId="176" fontId="2" fillId="15" borderId="36" xfId="0" applyNumberFormat="1" applyFont="1" applyFill="1" applyBorder="1" applyAlignment="1">
      <alignment horizontal="center" vertical="center"/>
    </xf>
    <xf numFmtId="0" fontId="0" fillId="15" borderId="36" xfId="0" applyNumberFormat="1" applyFill="1" applyBorder="1" applyAlignment="1">
      <alignment horizontal="center" vertical="center"/>
    </xf>
    <xf numFmtId="0" fontId="0" fillId="15" borderId="37" xfId="0" applyNumberForma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ersonal/Homebrew/HomeBrewingProcedure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еория"/>
      <sheetName val="Малц"/>
      <sheetName val="Вайцен"/>
      <sheetName val="в8 Yassno Pivo"/>
      <sheetName val="Malt equal chart"/>
      <sheetName val="Първоначални разходи"/>
      <sheetName val="Калк - рецепти v3"/>
      <sheetName val="Полезни насоки и калк."/>
      <sheetName val="Наличности"/>
      <sheetName val="Процедура 1 - 30.10.16"/>
      <sheetName val="График 1ва варка 30.10.16"/>
      <sheetName val="Процедура 2  - 27.11.16"/>
      <sheetName val="График 2ра варка 27.11.16"/>
      <sheetName val="Процедура 3 - Weissbier"/>
      <sheetName val="Процедура 4 Irish Red Ale"/>
      <sheetName val="Процедура 5 Ромбус Вайс"/>
      <sheetName val="Процедура 6 Irish Red Ale"/>
      <sheetName val="Процедура 7 Star Anise Stout"/>
      <sheetName val="Процедура 8 Ромбус Вай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beer-bg.com/viewtopic.php?f=3&amp;t=2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7"/>
  <sheetViews>
    <sheetView tabSelected="1" zoomScaleNormal="100" zoomScaleSheetLayoutView="100" workbookViewId="0">
      <selection activeCell="F14" sqref="F14:G14"/>
    </sheetView>
  </sheetViews>
  <sheetFormatPr defaultRowHeight="15" x14ac:dyDescent="0.25"/>
  <cols>
    <col min="1" max="1" width="4.85546875" style="198" bestFit="1" customWidth="1"/>
    <col min="2" max="2" width="50.7109375" bestFit="1" customWidth="1"/>
    <col min="3" max="3" width="10.7109375" customWidth="1"/>
    <col min="4" max="4" width="12.5703125" bestFit="1" customWidth="1"/>
    <col min="5" max="5" width="11.42578125" bestFit="1" customWidth="1"/>
    <col min="6" max="6" width="8.7109375" bestFit="1" customWidth="1"/>
    <col min="7" max="7" width="10.28515625" bestFit="1" customWidth="1"/>
    <col min="8" max="8" width="9.28515625" customWidth="1"/>
    <col min="9" max="9" width="7" bestFit="1" customWidth="1"/>
    <col min="10" max="10" width="7.7109375" bestFit="1" customWidth="1"/>
    <col min="11" max="11" width="28.42578125" customWidth="1"/>
    <col min="12" max="12" width="8.5703125" customWidth="1"/>
    <col min="13" max="13" width="7.85546875" bestFit="1" customWidth="1"/>
    <col min="14" max="14" width="2.5703125" customWidth="1"/>
    <col min="22" max="22" width="9.140625" customWidth="1"/>
    <col min="23" max="23" width="32.85546875" customWidth="1"/>
  </cols>
  <sheetData>
    <row r="1" spans="1:23" ht="36.75" thickBot="1" x14ac:dyDescent="0.3">
      <c r="A1" s="1" t="s">
        <v>0</v>
      </c>
      <c r="B1" s="2"/>
      <c r="C1" s="2"/>
      <c r="D1" s="3"/>
      <c r="E1" s="4" t="s">
        <v>1</v>
      </c>
      <c r="F1" s="5"/>
      <c r="G1" s="5"/>
      <c r="H1" s="5"/>
      <c r="I1" s="5"/>
      <c r="J1" s="5"/>
      <c r="K1" s="5"/>
      <c r="L1" s="5"/>
      <c r="M1" s="6"/>
      <c r="O1" s="7" t="s">
        <v>2</v>
      </c>
      <c r="P1" s="8"/>
      <c r="Q1" s="8"/>
      <c r="R1" s="8"/>
      <c r="S1" s="9" t="s">
        <v>3</v>
      </c>
      <c r="T1" s="9"/>
      <c r="U1" s="9"/>
      <c r="V1" s="9"/>
      <c r="W1" s="10"/>
    </row>
    <row r="2" spans="1:23" ht="20.25" thickBot="1" x14ac:dyDescent="0.3">
      <c r="A2" s="11" t="s">
        <v>4</v>
      </c>
      <c r="B2" s="12"/>
      <c r="C2" s="12"/>
      <c r="D2" s="12"/>
      <c r="E2" s="13"/>
      <c r="F2" s="14" t="s">
        <v>5</v>
      </c>
      <c r="G2" s="15"/>
      <c r="H2" s="15"/>
      <c r="I2" s="15"/>
      <c r="J2" s="16"/>
      <c r="K2" s="17" t="s">
        <v>6</v>
      </c>
      <c r="L2" s="18"/>
      <c r="M2" s="19"/>
      <c r="O2" s="20" t="s">
        <v>7</v>
      </c>
      <c r="P2" s="21"/>
      <c r="Q2" s="21"/>
      <c r="R2" s="21"/>
      <c r="S2" s="21"/>
      <c r="T2" s="21"/>
      <c r="U2" s="21"/>
      <c r="V2" s="21"/>
      <c r="W2" s="22"/>
    </row>
    <row r="3" spans="1:23" ht="31.5" x14ac:dyDescent="0.25">
      <c r="A3" s="23" t="s">
        <v>8</v>
      </c>
      <c r="B3" s="24"/>
      <c r="C3" s="25" t="s">
        <v>9</v>
      </c>
      <c r="D3" s="26" t="s">
        <v>10</v>
      </c>
      <c r="E3" s="27" t="s">
        <v>11</v>
      </c>
      <c r="F3" s="28" t="s">
        <v>12</v>
      </c>
      <c r="G3" s="29"/>
      <c r="H3" s="30" t="s">
        <v>9</v>
      </c>
      <c r="I3" s="30" t="s">
        <v>13</v>
      </c>
      <c r="J3" s="31" t="s">
        <v>14</v>
      </c>
      <c r="K3" s="32" t="s">
        <v>15</v>
      </c>
      <c r="L3" s="33" t="s">
        <v>16</v>
      </c>
      <c r="M3" s="34" t="s">
        <v>17</v>
      </c>
      <c r="O3" s="35"/>
      <c r="P3" s="36"/>
      <c r="Q3" s="36"/>
      <c r="R3" s="36"/>
      <c r="S3" s="36"/>
      <c r="T3" s="36"/>
      <c r="U3" s="36"/>
      <c r="V3" s="36"/>
      <c r="W3" s="37"/>
    </row>
    <row r="4" spans="1:23" ht="15" customHeight="1" x14ac:dyDescent="0.25">
      <c r="A4" s="38">
        <v>1</v>
      </c>
      <c r="B4" s="39" t="s">
        <v>18</v>
      </c>
      <c r="C4" s="40">
        <v>6.2</v>
      </c>
      <c r="D4" s="41">
        <f>ROUND(C4,2)</f>
        <v>6.2</v>
      </c>
      <c r="E4" s="42" t="s">
        <v>17</v>
      </c>
      <c r="F4" s="43" t="s">
        <v>19</v>
      </c>
      <c r="G4" s="44"/>
      <c r="H4" s="45">
        <v>10</v>
      </c>
      <c r="I4" s="46">
        <v>50</v>
      </c>
      <c r="J4" s="47">
        <f>$M$9-I4</f>
        <v>10</v>
      </c>
      <c r="K4" s="48"/>
      <c r="L4" s="49"/>
      <c r="M4" s="50"/>
      <c r="O4" s="35"/>
      <c r="P4" s="36"/>
      <c r="Q4" s="36"/>
      <c r="R4" s="36"/>
      <c r="S4" s="36"/>
      <c r="T4" s="36"/>
      <c r="U4" s="36"/>
      <c r="V4" s="36"/>
      <c r="W4" s="37"/>
    </row>
    <row r="5" spans="1:23" ht="15" customHeight="1" x14ac:dyDescent="0.25">
      <c r="A5" s="38">
        <v>2</v>
      </c>
      <c r="B5" s="39" t="s">
        <v>20</v>
      </c>
      <c r="C5" s="51">
        <v>50</v>
      </c>
      <c r="D5" s="52">
        <f t="shared" ref="D5:D14" si="0">ROUND(C5,0)</f>
        <v>50</v>
      </c>
      <c r="E5" s="42" t="s">
        <v>17</v>
      </c>
      <c r="F5" s="43" t="s">
        <v>21</v>
      </c>
      <c r="G5" s="44"/>
      <c r="H5" s="45">
        <v>20</v>
      </c>
      <c r="I5" s="46">
        <v>50</v>
      </c>
      <c r="J5" s="47">
        <f>$M$9-I5</f>
        <v>10</v>
      </c>
      <c r="K5" s="53" t="s">
        <v>22</v>
      </c>
      <c r="L5" s="54" t="s">
        <v>23</v>
      </c>
      <c r="M5" s="55">
        <v>50</v>
      </c>
      <c r="O5" s="35"/>
      <c r="P5" s="36"/>
      <c r="Q5" s="36"/>
      <c r="R5" s="36"/>
      <c r="S5" s="36"/>
      <c r="T5" s="36"/>
      <c r="U5" s="36"/>
      <c r="V5" s="36"/>
      <c r="W5" s="37"/>
    </row>
    <row r="6" spans="1:23" ht="15" customHeight="1" x14ac:dyDescent="0.25">
      <c r="A6" s="38">
        <v>3</v>
      </c>
      <c r="B6" s="39" t="s">
        <v>24</v>
      </c>
      <c r="C6" s="56">
        <v>11</v>
      </c>
      <c r="D6" s="52">
        <f t="shared" si="0"/>
        <v>11</v>
      </c>
      <c r="E6" s="42" t="s">
        <v>17</v>
      </c>
      <c r="F6" s="43" t="s">
        <v>19</v>
      </c>
      <c r="G6" s="44"/>
      <c r="H6" s="45">
        <v>10</v>
      </c>
      <c r="I6" s="46">
        <v>20</v>
      </c>
      <c r="J6" s="47">
        <f>$M$9-I6</f>
        <v>40</v>
      </c>
      <c r="K6" s="53" t="s">
        <v>25</v>
      </c>
      <c r="L6" s="54" t="s">
        <v>26</v>
      </c>
      <c r="M6" s="55">
        <v>10</v>
      </c>
      <c r="O6" s="35"/>
      <c r="P6" s="36"/>
      <c r="Q6" s="36"/>
      <c r="R6" s="36"/>
      <c r="S6" s="36"/>
      <c r="T6" s="36"/>
      <c r="U6" s="36"/>
      <c r="V6" s="36"/>
      <c r="W6" s="37"/>
    </row>
    <row r="7" spans="1:23" ht="15" customHeight="1" x14ac:dyDescent="0.25">
      <c r="A7" s="38">
        <v>4</v>
      </c>
      <c r="B7" s="39" t="s">
        <v>27</v>
      </c>
      <c r="C7" s="57">
        <f>$C$4*C11</f>
        <v>18.600000000000001</v>
      </c>
      <c r="D7" s="58">
        <f>ROUND(C7,1)</f>
        <v>18.600000000000001</v>
      </c>
      <c r="E7" s="59">
        <f>C11/($C$11+$C$12)</f>
        <v>0.42857142857142855</v>
      </c>
      <c r="F7" s="43" t="s">
        <v>19</v>
      </c>
      <c r="G7" s="44"/>
      <c r="H7" s="45">
        <v>10</v>
      </c>
      <c r="I7" s="46">
        <v>5</v>
      </c>
      <c r="J7" s="47">
        <f>$M$9-I7</f>
        <v>55</v>
      </c>
      <c r="K7" s="53" t="s">
        <v>28</v>
      </c>
      <c r="L7" s="54" t="s">
        <v>29</v>
      </c>
      <c r="M7" s="55">
        <v>0</v>
      </c>
      <c r="O7" s="35"/>
      <c r="P7" s="36"/>
      <c r="Q7" s="36"/>
      <c r="R7" s="36"/>
      <c r="S7" s="36"/>
      <c r="T7" s="36"/>
      <c r="U7" s="36"/>
      <c r="V7" s="36"/>
      <c r="W7" s="37"/>
    </row>
    <row r="8" spans="1:23" x14ac:dyDescent="0.25">
      <c r="A8" s="38">
        <v>5</v>
      </c>
      <c r="B8" s="39" t="s">
        <v>30</v>
      </c>
      <c r="C8" s="57">
        <f>$C$4*C12</f>
        <v>24.8</v>
      </c>
      <c r="D8" s="58">
        <f>ROUND(C8,1)</f>
        <v>24.8</v>
      </c>
      <c r="E8" s="59">
        <f>C12/($C$11+$C$12)</f>
        <v>0.5714285714285714</v>
      </c>
      <c r="F8" s="60"/>
      <c r="G8" s="61"/>
      <c r="H8" s="62"/>
      <c r="I8" s="46"/>
      <c r="J8" s="47"/>
      <c r="K8" s="63" t="s">
        <v>31</v>
      </c>
      <c r="L8" s="54" t="s">
        <v>29</v>
      </c>
      <c r="M8" s="55" t="s">
        <v>17</v>
      </c>
      <c r="O8" s="35"/>
      <c r="P8" s="36"/>
      <c r="Q8" s="36"/>
      <c r="R8" s="36"/>
      <c r="S8" s="36"/>
      <c r="T8" s="36"/>
      <c r="U8" s="36"/>
      <c r="V8" s="36"/>
      <c r="W8" s="37"/>
    </row>
    <row r="9" spans="1:23" ht="15.75" thickBot="1" x14ac:dyDescent="0.3">
      <c r="A9" s="38">
        <v>6</v>
      </c>
      <c r="B9" s="39" t="s">
        <v>32</v>
      </c>
      <c r="C9" s="57">
        <f>C4+C7</f>
        <v>24.8</v>
      </c>
      <c r="D9" s="58">
        <f>ROUND(C9,1)</f>
        <v>24.8</v>
      </c>
      <c r="E9" s="42" t="s">
        <v>17</v>
      </c>
      <c r="F9" s="64"/>
      <c r="G9" s="65"/>
      <c r="H9" s="45"/>
      <c r="I9" s="46"/>
      <c r="J9" s="47"/>
      <c r="K9" s="53" t="s">
        <v>33</v>
      </c>
      <c r="L9" s="54" t="s">
        <v>34</v>
      </c>
      <c r="M9" s="55">
        <v>60</v>
      </c>
      <c r="O9" s="35"/>
      <c r="P9" s="36"/>
      <c r="Q9" s="36"/>
      <c r="R9" s="36"/>
      <c r="S9" s="36"/>
      <c r="T9" s="36"/>
      <c r="U9" s="36"/>
      <c r="V9" s="36"/>
      <c r="W9" s="37"/>
    </row>
    <row r="10" spans="1:23" ht="16.5" thickBot="1" x14ac:dyDescent="0.3">
      <c r="A10" s="38">
        <v>7</v>
      </c>
      <c r="B10" s="66" t="s">
        <v>35</v>
      </c>
      <c r="C10" s="67">
        <v>1</v>
      </c>
      <c r="D10" s="68" t="s">
        <v>17</v>
      </c>
      <c r="E10" s="42" t="s">
        <v>17</v>
      </c>
      <c r="F10" s="69" t="s">
        <v>36</v>
      </c>
      <c r="G10" s="70"/>
      <c r="H10" s="70"/>
      <c r="I10" s="70"/>
      <c r="J10" s="71"/>
      <c r="K10" s="53" t="s">
        <v>37</v>
      </c>
      <c r="L10" s="54" t="s">
        <v>38</v>
      </c>
      <c r="M10" s="55">
        <v>30</v>
      </c>
      <c r="O10" s="35"/>
      <c r="P10" s="36"/>
      <c r="Q10" s="36"/>
      <c r="R10" s="36"/>
      <c r="S10" s="36"/>
      <c r="T10" s="36"/>
      <c r="U10" s="36"/>
      <c r="V10" s="36"/>
      <c r="W10" s="37"/>
    </row>
    <row r="11" spans="1:23" x14ac:dyDescent="0.25">
      <c r="A11" s="38">
        <v>8</v>
      </c>
      <c r="B11" s="66" t="s">
        <v>39</v>
      </c>
      <c r="C11" s="67">
        <v>3</v>
      </c>
      <c r="D11" s="68" t="s">
        <v>17</v>
      </c>
      <c r="E11" s="42" t="s">
        <v>17</v>
      </c>
      <c r="F11" s="60" t="s">
        <v>17</v>
      </c>
      <c r="G11" s="61"/>
      <c r="H11" s="45"/>
      <c r="I11" s="46" t="s">
        <v>40</v>
      </c>
      <c r="J11" s="72" t="s">
        <v>17</v>
      </c>
      <c r="K11" s="53" t="s">
        <v>41</v>
      </c>
      <c r="L11" s="73" t="s">
        <v>17</v>
      </c>
      <c r="M11" s="55">
        <v>60</v>
      </c>
      <c r="O11" s="35"/>
      <c r="P11" s="36"/>
      <c r="Q11" s="36"/>
      <c r="R11" s="36"/>
      <c r="S11" s="36"/>
      <c r="T11" s="36"/>
      <c r="U11" s="36"/>
      <c r="V11" s="36"/>
      <c r="W11" s="37"/>
    </row>
    <row r="12" spans="1:23" x14ac:dyDescent="0.25">
      <c r="A12" s="38">
        <v>9</v>
      </c>
      <c r="B12" s="66" t="s">
        <v>42</v>
      </c>
      <c r="C12" s="67">
        <v>4</v>
      </c>
      <c r="D12" s="68" t="s">
        <v>17</v>
      </c>
      <c r="E12" s="42" t="s">
        <v>17</v>
      </c>
      <c r="F12" s="60"/>
      <c r="G12" s="61"/>
      <c r="H12" s="45"/>
      <c r="I12" s="46"/>
      <c r="J12" s="72" t="s">
        <v>17</v>
      </c>
      <c r="K12" s="74" t="s">
        <v>43</v>
      </c>
      <c r="L12" s="75">
        <v>12</v>
      </c>
      <c r="M12" s="75">
        <v>13.5</v>
      </c>
      <c r="O12" s="35"/>
      <c r="P12" s="36"/>
      <c r="Q12" s="36"/>
      <c r="R12" s="36"/>
      <c r="S12" s="36"/>
      <c r="T12" s="36"/>
      <c r="U12" s="36"/>
      <c r="V12" s="36"/>
      <c r="W12" s="37"/>
    </row>
    <row r="13" spans="1:23" ht="15.75" thickBot="1" x14ac:dyDescent="0.3">
      <c r="A13" s="76" t="s">
        <v>44</v>
      </c>
      <c r="B13" s="77"/>
      <c r="C13" s="78">
        <f>C7+C8</f>
        <v>43.400000000000006</v>
      </c>
      <c r="D13" s="79">
        <f t="shared" ref="D13" si="1">ROUND(C13,0)</f>
        <v>43</v>
      </c>
      <c r="E13" s="42" t="s">
        <v>17</v>
      </c>
      <c r="F13" s="60"/>
      <c r="G13" s="61"/>
      <c r="H13" s="45"/>
      <c r="I13" s="46"/>
      <c r="J13" s="72" t="s">
        <v>17</v>
      </c>
      <c r="K13" s="80" t="s">
        <v>45</v>
      </c>
      <c r="L13" s="81">
        <v>32</v>
      </c>
      <c r="M13" s="82" t="s">
        <v>17</v>
      </c>
      <c r="O13" s="35"/>
      <c r="P13" s="36"/>
      <c r="Q13" s="36"/>
      <c r="R13" s="36"/>
      <c r="S13" s="36"/>
      <c r="T13" s="36"/>
      <c r="U13" s="36"/>
      <c r="V13" s="36"/>
      <c r="W13" s="37"/>
    </row>
    <row r="14" spans="1:23" ht="19.5" x14ac:dyDescent="0.25">
      <c r="A14" s="83" t="s">
        <v>46</v>
      </c>
      <c r="B14" s="84"/>
      <c r="C14" s="85">
        <f>C13-C10*C4</f>
        <v>37.200000000000003</v>
      </c>
      <c r="D14" s="86">
        <f t="shared" si="0"/>
        <v>37</v>
      </c>
      <c r="E14" s="87" t="s">
        <v>17</v>
      </c>
      <c r="F14" s="60"/>
      <c r="G14" s="61"/>
      <c r="H14" s="45"/>
      <c r="I14" s="46"/>
      <c r="J14" s="88" t="s">
        <v>17</v>
      </c>
      <c r="K14" s="89" t="s">
        <v>47</v>
      </c>
      <c r="L14" s="90" t="s">
        <v>48</v>
      </c>
      <c r="M14" s="91" t="s">
        <v>49</v>
      </c>
      <c r="O14" s="35"/>
      <c r="P14" s="36"/>
      <c r="Q14" s="36"/>
      <c r="R14" s="36"/>
      <c r="S14" s="36"/>
      <c r="T14" s="36"/>
      <c r="U14" s="36"/>
      <c r="V14" s="36"/>
      <c r="W14" s="37"/>
    </row>
    <row r="15" spans="1:23" x14ac:dyDescent="0.25">
      <c r="A15" s="92"/>
      <c r="B15" s="92"/>
      <c r="C15" s="93"/>
      <c r="D15" s="94"/>
      <c r="E15" s="95"/>
      <c r="F15" s="96"/>
      <c r="G15" s="61"/>
      <c r="H15" s="45"/>
      <c r="I15" s="46"/>
      <c r="J15" s="88"/>
      <c r="K15" s="97" t="s">
        <v>50</v>
      </c>
      <c r="L15" s="98">
        <v>31.53</v>
      </c>
      <c r="M15" s="99"/>
      <c r="O15" s="35"/>
      <c r="P15" s="36"/>
      <c r="Q15" s="36"/>
      <c r="R15" s="36"/>
      <c r="S15" s="36"/>
      <c r="T15" s="36"/>
      <c r="U15" s="36"/>
      <c r="V15" s="36"/>
      <c r="W15" s="37"/>
    </row>
    <row r="16" spans="1:23" x14ac:dyDescent="0.25">
      <c r="A16" s="92"/>
      <c r="B16" s="92"/>
      <c r="C16" s="93"/>
      <c r="D16" s="94"/>
      <c r="E16" s="95"/>
      <c r="F16" s="96"/>
      <c r="G16" s="61"/>
      <c r="H16" s="45"/>
      <c r="I16" s="46"/>
      <c r="J16" s="88"/>
      <c r="K16" s="97" t="s">
        <v>51</v>
      </c>
      <c r="L16" s="98">
        <v>3.12</v>
      </c>
      <c r="M16" s="99"/>
      <c r="O16" s="35"/>
      <c r="P16" s="36"/>
      <c r="Q16" s="36"/>
      <c r="R16" s="36"/>
      <c r="S16" s="36"/>
      <c r="T16" s="36"/>
      <c r="U16" s="36"/>
      <c r="V16" s="36"/>
      <c r="W16" s="37"/>
    </row>
    <row r="17" spans="1:23" x14ac:dyDescent="0.25">
      <c r="A17" s="92"/>
      <c r="B17" s="92"/>
      <c r="C17" s="93"/>
      <c r="D17" s="94"/>
      <c r="E17" s="95"/>
      <c r="F17" s="96"/>
      <c r="G17" s="61"/>
      <c r="H17" s="45"/>
      <c r="I17" s="46"/>
      <c r="J17" s="88"/>
      <c r="K17" s="97" t="s">
        <v>52</v>
      </c>
      <c r="L17" s="98">
        <v>15</v>
      </c>
      <c r="M17" s="99"/>
      <c r="O17" s="35"/>
      <c r="P17" s="36"/>
      <c r="Q17" s="36"/>
      <c r="R17" s="36"/>
      <c r="S17" s="36"/>
      <c r="T17" s="36"/>
      <c r="U17" s="36"/>
      <c r="V17" s="36"/>
      <c r="W17" s="37"/>
    </row>
    <row r="18" spans="1:23" x14ac:dyDescent="0.25">
      <c r="A18" s="92"/>
      <c r="B18" s="92"/>
      <c r="C18" s="93"/>
      <c r="D18" s="94"/>
      <c r="E18" s="95"/>
      <c r="F18" s="96"/>
      <c r="G18" s="61"/>
      <c r="H18" s="45"/>
      <c r="I18" s="46"/>
      <c r="J18" s="88"/>
      <c r="K18" s="97" t="s">
        <v>53</v>
      </c>
      <c r="L18" s="98">
        <v>4</v>
      </c>
      <c r="M18" s="99"/>
      <c r="O18" s="35"/>
      <c r="P18" s="36"/>
      <c r="Q18" s="36"/>
      <c r="R18" s="36"/>
      <c r="S18" s="36"/>
      <c r="T18" s="36"/>
      <c r="U18" s="36"/>
      <c r="V18" s="36"/>
      <c r="W18" s="37"/>
    </row>
    <row r="19" spans="1:23" ht="17.25" thickBot="1" x14ac:dyDescent="0.3">
      <c r="A19" s="92"/>
      <c r="B19" s="92"/>
      <c r="C19" s="93"/>
      <c r="D19" s="94"/>
      <c r="E19" s="95"/>
      <c r="F19" s="96"/>
      <c r="G19" s="61"/>
      <c r="H19" s="45"/>
      <c r="I19" s="46"/>
      <c r="J19" s="88"/>
      <c r="K19" s="100" t="s">
        <v>54</v>
      </c>
      <c r="L19" s="101" t="s">
        <v>55</v>
      </c>
      <c r="M19" s="102">
        <f>(M17-M18)*0.53</f>
        <v>0</v>
      </c>
      <c r="O19" s="35"/>
      <c r="P19" s="36"/>
      <c r="Q19" s="36"/>
      <c r="R19" s="36"/>
      <c r="S19" s="36"/>
      <c r="T19" s="36"/>
      <c r="U19" s="36"/>
      <c r="V19" s="36"/>
      <c r="W19" s="37"/>
    </row>
    <row r="20" spans="1:23" ht="31.5" x14ac:dyDescent="0.25">
      <c r="A20" s="23" t="s">
        <v>56</v>
      </c>
      <c r="B20" s="24"/>
      <c r="C20" s="25" t="s">
        <v>9</v>
      </c>
      <c r="D20" s="26" t="s">
        <v>57</v>
      </c>
      <c r="E20" s="103" t="s">
        <v>58</v>
      </c>
      <c r="F20" s="104" t="s">
        <v>59</v>
      </c>
      <c r="G20" s="105"/>
      <c r="H20" s="106" t="s">
        <v>60</v>
      </c>
      <c r="I20" s="107"/>
      <c r="J20" s="108"/>
      <c r="K20" s="109" t="s">
        <v>61</v>
      </c>
      <c r="L20" s="110">
        <v>0.12936</v>
      </c>
      <c r="M20" s="111" t="s">
        <v>62</v>
      </c>
      <c r="O20" s="35"/>
      <c r="P20" s="36"/>
      <c r="Q20" s="36"/>
      <c r="R20" s="36"/>
      <c r="S20" s="36"/>
      <c r="T20" s="36"/>
      <c r="U20" s="36"/>
      <c r="V20" s="36"/>
      <c r="W20" s="37"/>
    </row>
    <row r="21" spans="1:23" x14ac:dyDescent="0.25">
      <c r="A21" s="112">
        <v>1</v>
      </c>
      <c r="B21" s="113" t="s">
        <v>63</v>
      </c>
      <c r="C21" s="113">
        <v>1.8</v>
      </c>
      <c r="D21" s="114">
        <f>C21/$C$25</f>
        <v>0.78260869565217384</v>
      </c>
      <c r="E21" s="115">
        <f>C4*D21</f>
        <v>4.8521739130434778</v>
      </c>
      <c r="F21" s="116"/>
      <c r="G21" s="116">
        <v>10.050000000000001</v>
      </c>
      <c r="H21" s="117"/>
      <c r="I21" s="117"/>
      <c r="J21" s="118"/>
      <c r="K21" s="119" t="s">
        <v>64</v>
      </c>
      <c r="L21" s="120">
        <f>(20+45+10)/60</f>
        <v>1.25</v>
      </c>
      <c r="M21" s="121">
        <v>2</v>
      </c>
      <c r="O21" s="35"/>
      <c r="P21" s="36"/>
      <c r="Q21" s="36"/>
      <c r="R21" s="36"/>
      <c r="S21" s="36"/>
      <c r="T21" s="36"/>
      <c r="U21" s="36"/>
      <c r="V21" s="36"/>
      <c r="W21" s="37"/>
    </row>
    <row r="22" spans="1:23" x14ac:dyDescent="0.25">
      <c r="A22" s="112">
        <v>2</v>
      </c>
      <c r="B22" s="113" t="s">
        <v>65</v>
      </c>
      <c r="C22" s="113">
        <v>0.3</v>
      </c>
      <c r="D22" s="114">
        <f>C22/$C$25</f>
        <v>0.13043478260869562</v>
      </c>
      <c r="E22" s="115">
        <f>C4*D22</f>
        <v>0.80869565217391293</v>
      </c>
      <c r="F22" s="116"/>
      <c r="G22" s="116">
        <v>2.35</v>
      </c>
      <c r="H22" s="117"/>
      <c r="I22" s="117"/>
      <c r="J22" s="118"/>
      <c r="K22" s="119" t="s">
        <v>66</v>
      </c>
      <c r="L22" s="120">
        <f>90/60</f>
        <v>1.5</v>
      </c>
      <c r="M22" s="121">
        <v>2</v>
      </c>
      <c r="O22" s="35"/>
      <c r="P22" s="36"/>
      <c r="Q22" s="36"/>
      <c r="R22" s="36"/>
      <c r="S22" s="36"/>
      <c r="T22" s="36"/>
      <c r="U22" s="36"/>
      <c r="V22" s="36"/>
      <c r="W22" s="37"/>
    </row>
    <row r="23" spans="1:23" x14ac:dyDescent="0.25">
      <c r="A23" s="112">
        <v>3</v>
      </c>
      <c r="B23" s="113" t="s">
        <v>67</v>
      </c>
      <c r="C23" s="113">
        <v>0.2</v>
      </c>
      <c r="D23" s="114">
        <f>C23/$C$25</f>
        <v>8.6956521739130432E-2</v>
      </c>
      <c r="E23" s="115">
        <f>C4*D23</f>
        <v>0.53913043478260869</v>
      </c>
      <c r="F23" s="116"/>
      <c r="G23" s="116">
        <v>1.56</v>
      </c>
      <c r="H23" s="117"/>
      <c r="I23" s="117"/>
      <c r="J23" s="118"/>
      <c r="K23" s="119" t="s">
        <v>68</v>
      </c>
      <c r="L23" s="120">
        <f>110/60</f>
        <v>1.8333333333333333</v>
      </c>
      <c r="M23" s="121">
        <v>3</v>
      </c>
      <c r="O23" s="35"/>
      <c r="P23" s="36"/>
      <c r="Q23" s="36"/>
      <c r="R23" s="36"/>
      <c r="S23" s="36"/>
      <c r="T23" s="36"/>
      <c r="U23" s="36"/>
      <c r="V23" s="36"/>
      <c r="W23" s="37"/>
    </row>
    <row r="24" spans="1:23" x14ac:dyDescent="0.25">
      <c r="A24" s="122">
        <v>4</v>
      </c>
      <c r="B24" s="123" t="s">
        <v>69</v>
      </c>
      <c r="C24" s="113"/>
      <c r="D24" s="114"/>
      <c r="E24" s="115">
        <f>E25</f>
        <v>6.1999999999999993</v>
      </c>
      <c r="F24" s="124"/>
      <c r="G24" s="125">
        <f>E24*0.25</f>
        <v>1.5499999999999998</v>
      </c>
      <c r="H24" s="117"/>
      <c r="I24" s="117"/>
      <c r="J24" s="118"/>
      <c r="K24" s="126"/>
      <c r="L24" s="127"/>
      <c r="M24" s="128"/>
      <c r="O24" s="35"/>
      <c r="P24" s="36"/>
      <c r="Q24" s="36"/>
      <c r="R24" s="36"/>
      <c r="S24" s="36"/>
      <c r="T24" s="36"/>
      <c r="U24" s="36"/>
      <c r="V24" s="36"/>
      <c r="W24" s="37"/>
    </row>
    <row r="25" spans="1:23" ht="15.75" thickBot="1" x14ac:dyDescent="0.3">
      <c r="A25" s="129" t="s">
        <v>70</v>
      </c>
      <c r="B25" s="130"/>
      <c r="C25" s="131">
        <f>SUM(C21:C23)</f>
        <v>2.3000000000000003</v>
      </c>
      <c r="D25" s="114">
        <f>SUM(D21:D23)</f>
        <v>0.99999999999999978</v>
      </c>
      <c r="E25" s="132">
        <f>SUM(E21:E23)</f>
        <v>6.1999999999999993</v>
      </c>
      <c r="F25" s="133">
        <f>SUM(G21:G24)</f>
        <v>15.510000000000002</v>
      </c>
      <c r="G25" s="134"/>
      <c r="H25" s="135"/>
      <c r="I25" s="135"/>
      <c r="J25" s="136"/>
      <c r="K25" s="137"/>
      <c r="L25" s="138" t="s">
        <v>71</v>
      </c>
      <c r="M25" s="139">
        <f>L21*M21*L20+L22*M22*L20+L23*M23*L20</f>
        <v>1.42296</v>
      </c>
      <c r="O25" s="35"/>
      <c r="P25" s="36"/>
      <c r="Q25" s="36"/>
      <c r="R25" s="36"/>
      <c r="S25" s="36"/>
      <c r="T25" s="36"/>
      <c r="U25" s="36"/>
      <c r="V25" s="36"/>
      <c r="W25" s="37"/>
    </row>
    <row r="26" spans="1:23" ht="31.5" x14ac:dyDescent="0.25">
      <c r="A26" s="140" t="s">
        <v>72</v>
      </c>
      <c r="B26" s="141"/>
      <c r="C26" s="142" t="s">
        <v>9</v>
      </c>
      <c r="D26" s="143" t="s">
        <v>57</v>
      </c>
      <c r="E26" s="144" t="s">
        <v>58</v>
      </c>
      <c r="F26" s="144" t="s">
        <v>73</v>
      </c>
      <c r="G26" s="144" t="s">
        <v>74</v>
      </c>
      <c r="H26" s="145" t="s">
        <v>60</v>
      </c>
      <c r="I26" s="145"/>
      <c r="J26" s="146"/>
      <c r="K26" s="147" t="s">
        <v>75</v>
      </c>
      <c r="L26" s="148"/>
      <c r="M26" s="149"/>
      <c r="O26" s="35"/>
      <c r="P26" s="36"/>
      <c r="Q26" s="36"/>
      <c r="R26" s="36"/>
      <c r="S26" s="36"/>
      <c r="T26" s="36"/>
      <c r="U26" s="36"/>
      <c r="V26" s="36"/>
      <c r="W26" s="37"/>
    </row>
    <row r="27" spans="1:23" x14ac:dyDescent="0.25">
      <c r="A27" s="112">
        <v>1</v>
      </c>
      <c r="B27" s="113" t="s">
        <v>76</v>
      </c>
      <c r="C27" s="113">
        <v>30</v>
      </c>
      <c r="D27" s="114">
        <f>C27/$C$32</f>
        <v>0.6</v>
      </c>
      <c r="E27" s="115">
        <f>$C$5*D27</f>
        <v>30</v>
      </c>
      <c r="F27" s="116">
        <v>8</v>
      </c>
      <c r="G27" s="116">
        <f>F27/50*E27</f>
        <v>4.8</v>
      </c>
      <c r="H27" s="117" t="s">
        <v>77</v>
      </c>
      <c r="I27" s="117"/>
      <c r="J27" s="118"/>
      <c r="K27" s="150"/>
      <c r="L27" s="151"/>
      <c r="M27" s="152"/>
      <c r="O27" s="35"/>
      <c r="P27" s="36"/>
      <c r="Q27" s="36"/>
      <c r="R27" s="36"/>
      <c r="S27" s="36"/>
      <c r="T27" s="36"/>
      <c r="U27" s="36"/>
      <c r="V27" s="36"/>
      <c r="W27" s="37"/>
    </row>
    <row r="28" spans="1:23" x14ac:dyDescent="0.25">
      <c r="A28" s="112">
        <v>2</v>
      </c>
      <c r="B28" s="113" t="s">
        <v>78</v>
      </c>
      <c r="C28" s="113">
        <v>20</v>
      </c>
      <c r="D28" s="114">
        <f>C28/$C$32</f>
        <v>0.4</v>
      </c>
      <c r="E28" s="115">
        <f>$C$5*D28</f>
        <v>20</v>
      </c>
      <c r="F28" s="116">
        <v>3.85</v>
      </c>
      <c r="G28" s="116">
        <f>F28/50*E28</f>
        <v>1.54</v>
      </c>
      <c r="H28" s="117" t="s">
        <v>79</v>
      </c>
      <c r="I28" s="117"/>
      <c r="J28" s="118"/>
      <c r="K28" s="150"/>
      <c r="L28" s="151"/>
      <c r="M28" s="152"/>
      <c r="O28" s="35"/>
      <c r="P28" s="36"/>
      <c r="Q28" s="36"/>
      <c r="R28" s="36"/>
      <c r="S28" s="36"/>
      <c r="T28" s="36"/>
      <c r="U28" s="36"/>
      <c r="V28" s="36"/>
      <c r="W28" s="37"/>
    </row>
    <row r="29" spans="1:23" x14ac:dyDescent="0.25">
      <c r="A29" s="112">
        <v>3</v>
      </c>
      <c r="B29" s="113"/>
      <c r="C29" s="113">
        <v>0</v>
      </c>
      <c r="D29" s="114">
        <f>C29/$C$32</f>
        <v>0</v>
      </c>
      <c r="E29" s="115">
        <f t="shared" ref="E29:E31" si="2">$C$5*D29</f>
        <v>0</v>
      </c>
      <c r="F29" s="116">
        <v>0</v>
      </c>
      <c r="G29" s="116">
        <f t="shared" ref="G29:G31" si="3">F29/50*E29</f>
        <v>0</v>
      </c>
      <c r="H29" s="153"/>
      <c r="I29" s="154"/>
      <c r="J29" s="155"/>
      <c r="K29" s="150"/>
      <c r="L29" s="151"/>
      <c r="M29" s="152"/>
      <c r="O29" s="35"/>
      <c r="P29" s="36"/>
      <c r="Q29" s="36"/>
      <c r="R29" s="36"/>
      <c r="S29" s="36"/>
      <c r="T29" s="36"/>
      <c r="U29" s="36"/>
      <c r="V29" s="36"/>
      <c r="W29" s="37"/>
    </row>
    <row r="30" spans="1:23" x14ac:dyDescent="0.25">
      <c r="A30" s="112">
        <v>4</v>
      </c>
      <c r="B30" s="113"/>
      <c r="C30" s="113">
        <v>0</v>
      </c>
      <c r="D30" s="114">
        <f>C30/$C$32</f>
        <v>0</v>
      </c>
      <c r="E30" s="115">
        <f t="shared" si="2"/>
        <v>0</v>
      </c>
      <c r="F30" s="116">
        <v>0</v>
      </c>
      <c r="G30" s="116">
        <f t="shared" si="3"/>
        <v>0</v>
      </c>
      <c r="H30" s="153"/>
      <c r="I30" s="154"/>
      <c r="J30" s="155"/>
      <c r="K30" s="150"/>
      <c r="L30" s="151"/>
      <c r="M30" s="152"/>
      <c r="O30" s="35"/>
      <c r="P30" s="36"/>
      <c r="Q30" s="36"/>
      <c r="R30" s="36"/>
      <c r="S30" s="36"/>
      <c r="T30" s="36"/>
      <c r="U30" s="36"/>
      <c r="V30" s="36"/>
      <c r="W30" s="37"/>
    </row>
    <row r="31" spans="1:23" x14ac:dyDescent="0.25">
      <c r="A31" s="112">
        <v>5</v>
      </c>
      <c r="B31" s="113"/>
      <c r="C31" s="113">
        <v>0</v>
      </c>
      <c r="D31" s="114">
        <f>C31/$C$32</f>
        <v>0</v>
      </c>
      <c r="E31" s="115">
        <f t="shared" si="2"/>
        <v>0</v>
      </c>
      <c r="F31" s="116">
        <v>0</v>
      </c>
      <c r="G31" s="116">
        <f t="shared" si="3"/>
        <v>0</v>
      </c>
      <c r="H31" s="153"/>
      <c r="I31" s="154"/>
      <c r="J31" s="155"/>
      <c r="K31" s="150"/>
      <c r="L31" s="151"/>
      <c r="M31" s="152"/>
      <c r="O31" s="35"/>
      <c r="P31" s="36"/>
      <c r="Q31" s="36"/>
      <c r="R31" s="36"/>
      <c r="S31" s="36"/>
      <c r="T31" s="36"/>
      <c r="U31" s="36"/>
      <c r="V31" s="36"/>
      <c r="W31" s="37"/>
    </row>
    <row r="32" spans="1:23" ht="15.75" thickBot="1" x14ac:dyDescent="0.3">
      <c r="A32" s="129" t="s">
        <v>80</v>
      </c>
      <c r="B32" s="130"/>
      <c r="C32" s="131">
        <f>SUM(C27:C31)</f>
        <v>50</v>
      </c>
      <c r="D32" s="114">
        <f>SUM(D27:D31)</f>
        <v>1</v>
      </c>
      <c r="E32" s="156">
        <f>SUM(E27:E31)</f>
        <v>50</v>
      </c>
      <c r="F32" s="133">
        <f>SUM(G27:G31)</f>
        <v>6.34</v>
      </c>
      <c r="G32" s="134"/>
      <c r="H32" s="135"/>
      <c r="I32" s="135"/>
      <c r="J32" s="136"/>
      <c r="K32" s="150"/>
      <c r="L32" s="151"/>
      <c r="M32" s="152"/>
      <c r="O32" s="35"/>
      <c r="P32" s="36"/>
      <c r="Q32" s="36"/>
      <c r="R32" s="36"/>
      <c r="S32" s="36"/>
      <c r="T32" s="36"/>
      <c r="U32" s="36"/>
      <c r="V32" s="36"/>
      <c r="W32" s="37"/>
    </row>
    <row r="33" spans="1:23" ht="31.5" x14ac:dyDescent="0.25">
      <c r="A33" s="157" t="s">
        <v>81</v>
      </c>
      <c r="B33" s="158"/>
      <c r="C33" s="142" t="s">
        <v>9</v>
      </c>
      <c r="D33" s="143" t="s">
        <v>57</v>
      </c>
      <c r="E33" s="144" t="s">
        <v>58</v>
      </c>
      <c r="F33" s="159" t="s">
        <v>59</v>
      </c>
      <c r="G33" s="105"/>
      <c r="H33" s="145" t="s">
        <v>60</v>
      </c>
      <c r="I33" s="145"/>
      <c r="J33" s="146"/>
      <c r="K33" s="150"/>
      <c r="L33" s="151"/>
      <c r="M33" s="152"/>
      <c r="O33" s="35"/>
      <c r="P33" s="36"/>
      <c r="Q33" s="36"/>
      <c r="R33" s="36"/>
      <c r="S33" s="36"/>
      <c r="T33" s="36"/>
      <c r="U33" s="36"/>
      <c r="V33" s="36"/>
      <c r="W33" s="37"/>
    </row>
    <row r="34" spans="1:23" x14ac:dyDescent="0.25">
      <c r="A34" s="112">
        <v>1</v>
      </c>
      <c r="B34" s="113" t="s">
        <v>82</v>
      </c>
      <c r="C34" s="113">
        <v>11</v>
      </c>
      <c r="D34" s="114">
        <f>C34/$C$36</f>
        <v>1</v>
      </c>
      <c r="E34" s="115">
        <f>C6*D34</f>
        <v>11</v>
      </c>
      <c r="F34" s="160">
        <v>4.5</v>
      </c>
      <c r="G34" s="161"/>
      <c r="H34" s="117" t="s">
        <v>83</v>
      </c>
      <c r="I34" s="117"/>
      <c r="J34" s="118"/>
      <c r="K34" s="150"/>
      <c r="L34" s="151"/>
      <c r="M34" s="152"/>
      <c r="O34" s="35"/>
      <c r="P34" s="36"/>
      <c r="Q34" s="36"/>
      <c r="R34" s="36"/>
      <c r="S34" s="36"/>
      <c r="T34" s="36"/>
      <c r="U34" s="36"/>
      <c r="V34" s="36"/>
      <c r="W34" s="37"/>
    </row>
    <row r="35" spans="1:23" x14ac:dyDescent="0.25">
      <c r="A35" s="112">
        <v>2</v>
      </c>
      <c r="B35" s="113"/>
      <c r="C35" s="113"/>
      <c r="D35" s="114">
        <f>C35/$C$36</f>
        <v>0</v>
      </c>
      <c r="E35" s="115">
        <f>C6*D35</f>
        <v>0</v>
      </c>
      <c r="F35" s="160">
        <v>0</v>
      </c>
      <c r="G35" s="161"/>
      <c r="H35" s="117"/>
      <c r="I35" s="117"/>
      <c r="J35" s="118"/>
      <c r="K35" s="150"/>
      <c r="L35" s="151"/>
      <c r="M35" s="152"/>
      <c r="O35" s="35"/>
      <c r="P35" s="36"/>
      <c r="Q35" s="36"/>
      <c r="R35" s="36"/>
      <c r="S35" s="36"/>
      <c r="T35" s="36"/>
      <c r="U35" s="36"/>
      <c r="V35" s="36"/>
      <c r="W35" s="37"/>
    </row>
    <row r="36" spans="1:23" ht="15.75" thickBot="1" x14ac:dyDescent="0.3">
      <c r="A36" s="162" t="s">
        <v>80</v>
      </c>
      <c r="B36" s="163"/>
      <c r="C36" s="164">
        <f>SUM(C34:C34)</f>
        <v>11</v>
      </c>
      <c r="D36" s="165">
        <f>SUM(D34:D34)</f>
        <v>1</v>
      </c>
      <c r="E36" s="166">
        <f>SUM(E34:E34)</f>
        <v>11</v>
      </c>
      <c r="F36" s="133">
        <f>SUM(F34:G35)</f>
        <v>4.5</v>
      </c>
      <c r="G36" s="134"/>
      <c r="H36" s="167"/>
      <c r="I36" s="167"/>
      <c r="J36" s="168"/>
      <c r="K36" s="169"/>
      <c r="L36" s="170"/>
      <c r="M36" s="171"/>
      <c r="O36" s="35"/>
      <c r="P36" s="36"/>
      <c r="Q36" s="36"/>
      <c r="R36" s="36"/>
      <c r="S36" s="36"/>
      <c r="T36" s="36"/>
      <c r="U36" s="36"/>
      <c r="V36" s="36"/>
      <c r="W36" s="37"/>
    </row>
    <row r="37" spans="1:23" ht="15.75" thickBot="1" x14ac:dyDescent="0.3">
      <c r="A37" s="172"/>
      <c r="B37" s="173"/>
      <c r="C37" s="173"/>
      <c r="D37" s="173"/>
      <c r="E37" s="174" t="s">
        <v>84</v>
      </c>
      <c r="F37" s="175">
        <f>F25+F32+F36</f>
        <v>26.35</v>
      </c>
      <c r="G37" s="176"/>
      <c r="H37" s="177" t="s">
        <v>85</v>
      </c>
      <c r="I37" s="178"/>
      <c r="J37" s="178"/>
      <c r="K37" s="178"/>
      <c r="L37" s="179">
        <f>F37/L13</f>
        <v>0.82343750000000004</v>
      </c>
      <c r="M37" s="179">
        <f>F37/L13/2</f>
        <v>0.41171875000000002</v>
      </c>
      <c r="O37" s="35"/>
      <c r="P37" s="36"/>
      <c r="Q37" s="36"/>
      <c r="R37" s="36"/>
      <c r="S37" s="36"/>
      <c r="T37" s="36"/>
      <c r="U37" s="36"/>
      <c r="V37" s="36"/>
      <c r="W37" s="37"/>
    </row>
    <row r="38" spans="1:23" ht="22.5" x14ac:dyDescent="0.25">
      <c r="A38" s="180" t="s">
        <v>86</v>
      </c>
      <c r="B38" s="181"/>
      <c r="C38" s="181"/>
      <c r="D38" s="181"/>
      <c r="E38" s="181"/>
      <c r="F38" s="181"/>
      <c r="G38" s="181"/>
      <c r="H38" s="181"/>
      <c r="I38" s="181"/>
      <c r="J38" s="181"/>
      <c r="K38" s="181"/>
      <c r="L38" s="181"/>
      <c r="M38" s="182" t="s">
        <v>87</v>
      </c>
      <c r="O38" s="35"/>
      <c r="P38" s="36"/>
      <c r="Q38" s="36"/>
      <c r="R38" s="36"/>
      <c r="S38" s="36"/>
      <c r="T38" s="36"/>
      <c r="U38" s="36"/>
      <c r="V38" s="36"/>
      <c r="W38" s="37"/>
    </row>
    <row r="39" spans="1:23" s="187" customFormat="1" ht="21" x14ac:dyDescent="0.35">
      <c r="A39" s="183">
        <v>1</v>
      </c>
      <c r="B39" s="184" t="str">
        <f>CONCATENATE("Загряване на водата (според калкулатора) до ",L3)</f>
        <v>Загряване на водата (според калкулатора) до 71,4 °C</v>
      </c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6" t="s">
        <v>88</v>
      </c>
      <c r="O39" s="35"/>
      <c r="P39" s="36"/>
      <c r="Q39" s="36"/>
      <c r="R39" s="36"/>
      <c r="S39" s="36"/>
      <c r="T39" s="36"/>
      <c r="U39" s="36"/>
      <c r="V39" s="36"/>
      <c r="W39" s="37"/>
    </row>
    <row r="40" spans="1:23" s="187" customFormat="1" ht="21" x14ac:dyDescent="0.35">
      <c r="A40" s="183">
        <v>2</v>
      </c>
      <c r="B40" s="188" t="s">
        <v>89</v>
      </c>
      <c r="C40" s="189"/>
      <c r="D40" s="189"/>
      <c r="E40" s="189"/>
      <c r="F40" s="189"/>
      <c r="G40" s="189"/>
      <c r="H40" s="189"/>
      <c r="I40" s="189"/>
      <c r="J40" s="189"/>
      <c r="K40" s="189"/>
      <c r="L40" s="190"/>
      <c r="M40" s="186" t="s">
        <v>88</v>
      </c>
      <c r="O40" s="35"/>
      <c r="P40" s="36"/>
      <c r="Q40" s="36"/>
      <c r="R40" s="36"/>
      <c r="S40" s="36"/>
      <c r="T40" s="36"/>
      <c r="U40" s="36"/>
      <c r="V40" s="36"/>
      <c r="W40" s="37"/>
    </row>
    <row r="41" spans="1:23" s="187" customFormat="1" ht="40.5" customHeight="1" x14ac:dyDescent="0.35">
      <c r="A41" s="183">
        <v>3</v>
      </c>
      <c r="B41" s="184" t="str">
        <f>CONCATENATE("Размесване на водата (",D7," литра) с малца (",D4," кг) в голмия съд - ",C14," литра, който ще използвам и за варене (момента на озахаряване)")</f>
        <v>Размесване на водата (18,6 литра) с малца (6,2 кг) в голмия съд - 37,2 литра, който ще използвам и за варене (момента на озахаряване)</v>
      </c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6" t="s">
        <v>88</v>
      </c>
      <c r="O41" s="35"/>
      <c r="P41" s="36"/>
      <c r="Q41" s="36"/>
      <c r="R41" s="36"/>
      <c r="S41" s="36"/>
      <c r="T41" s="36"/>
      <c r="U41" s="36"/>
      <c r="V41" s="36"/>
      <c r="W41" s="37"/>
    </row>
    <row r="42" spans="1:23" s="187" customFormat="1" ht="21" x14ac:dyDescent="0.35">
      <c r="A42" s="183">
        <v>4</v>
      </c>
      <c r="B42" s="184" t="str">
        <f>CONCATENATE("Поддържам ",L5," за около ",M5)</f>
        <v>Поддържам 66 °C за около 50</v>
      </c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6" t="s">
        <v>88</v>
      </c>
      <c r="O42" s="35"/>
      <c r="P42" s="36"/>
      <c r="Q42" s="36"/>
      <c r="R42" s="36"/>
      <c r="S42" s="36"/>
      <c r="T42" s="36"/>
      <c r="U42" s="36"/>
      <c r="V42" s="36"/>
      <c r="W42" s="37"/>
    </row>
    <row r="43" spans="1:23" s="191" customFormat="1" ht="21" x14ac:dyDescent="0.35">
      <c r="A43" s="183">
        <v>5</v>
      </c>
      <c r="B43" s="184" t="str">
        <f>CONCATENATE("През това време в друг съд пускам да загрее още ",D8," литра до ",L7)</f>
        <v>През това време в друг съд пускам да загрее още 24,8 литра до 78 °C</v>
      </c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6" t="s">
        <v>88</v>
      </c>
      <c r="O43" s="35"/>
      <c r="P43" s="36"/>
      <c r="Q43" s="36"/>
      <c r="R43" s="36"/>
      <c r="S43" s="36"/>
      <c r="T43" s="36"/>
      <c r="U43" s="36"/>
      <c r="V43" s="36"/>
      <c r="W43" s="37"/>
    </row>
    <row r="44" spans="1:23" s="191" customFormat="1" ht="21" x14ac:dyDescent="0.35">
      <c r="A44" s="183">
        <v>6</v>
      </c>
      <c r="B44" s="184" t="str">
        <f>CONCATENATE("Загряване до ",L6," за около ",M6)</f>
        <v>Загряване до 72 °C за около 10</v>
      </c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6" t="s">
        <v>88</v>
      </c>
      <c r="O44" s="35"/>
      <c r="P44" s="36"/>
      <c r="Q44" s="36"/>
      <c r="R44" s="36"/>
      <c r="S44" s="36"/>
      <c r="T44" s="36"/>
      <c r="U44" s="36"/>
      <c r="V44" s="36"/>
      <c r="W44" s="37"/>
    </row>
    <row r="45" spans="1:23" s="191" customFormat="1" ht="21" x14ac:dyDescent="0.35">
      <c r="A45" s="183">
        <v>7</v>
      </c>
      <c r="B45" s="184" t="str">
        <f>CONCATENATE("Взимане на йодна проба, ако всичко е ок продължавам нататък, ако се промени, задържам още малко на ",L6)</f>
        <v>Взимане на йодна проба, ако всичко е ок продължавам нататък, ако се промени, задържам още малко на 72 °C</v>
      </c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6" t="s">
        <v>88</v>
      </c>
      <c r="O45" s="35"/>
      <c r="P45" s="36"/>
      <c r="Q45" s="36"/>
      <c r="R45" s="36"/>
      <c r="S45" s="36"/>
      <c r="T45" s="36"/>
      <c r="U45" s="36"/>
      <c r="V45" s="36"/>
      <c r="W45" s="37"/>
    </row>
    <row r="46" spans="1:23" s="191" customFormat="1" ht="21" x14ac:dyDescent="0.35">
      <c r="A46" s="183">
        <v>8</v>
      </c>
      <c r="B46" s="184" t="str">
        <f>CONCATENATE("Загрявам до ",L7," и изключвам казана")</f>
        <v>Загрявам до 78 °C и изключвам казана</v>
      </c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6" t="s">
        <v>88</v>
      </c>
      <c r="O46" s="35"/>
      <c r="P46" s="36"/>
      <c r="Q46" s="36"/>
      <c r="R46" s="36"/>
      <c r="S46" s="36"/>
      <c r="T46" s="36"/>
      <c r="U46" s="36"/>
      <c r="V46" s="36"/>
      <c r="W46" s="37"/>
    </row>
    <row r="47" spans="1:23" s="191" customFormat="1" ht="21" x14ac:dyDescent="0.35">
      <c r="A47" s="183">
        <v>9</v>
      </c>
      <c r="B47" s="184" t="s">
        <v>90</v>
      </c>
      <c r="C47" s="185"/>
      <c r="D47" s="185"/>
      <c r="E47" s="185"/>
      <c r="F47" s="185"/>
      <c r="G47" s="185"/>
      <c r="H47" s="185"/>
      <c r="I47" s="185"/>
      <c r="J47" s="185"/>
      <c r="K47" s="185"/>
      <c r="L47" s="185"/>
      <c r="M47" s="186" t="s">
        <v>88</v>
      </c>
      <c r="O47" s="35"/>
      <c r="P47" s="36"/>
      <c r="Q47" s="36"/>
      <c r="R47" s="36"/>
      <c r="S47" s="36"/>
      <c r="T47" s="36"/>
      <c r="U47" s="36"/>
      <c r="V47" s="36"/>
      <c r="W47" s="37"/>
    </row>
    <row r="48" spans="1:23" s="191" customFormat="1" ht="21" x14ac:dyDescent="0.35">
      <c r="A48" s="183">
        <v>10</v>
      </c>
      <c r="B48" s="184" t="str">
        <f>CONCATENATE("Чакам да спадне нивото и доливам с по 1-2 литра вода от водата за промиване - онези ",D8," литра на ",L7)</f>
        <v>Чакам да спадне нивото и доливам с по 1-2 литра вода от водата за промиване - онези 24,8 литра на 78 °C</v>
      </c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86" t="s">
        <v>88</v>
      </c>
      <c r="O48" s="35"/>
      <c r="P48" s="36"/>
      <c r="Q48" s="36"/>
      <c r="R48" s="36"/>
      <c r="S48" s="36"/>
      <c r="T48" s="36"/>
      <c r="U48" s="36"/>
      <c r="V48" s="36"/>
      <c r="W48" s="37"/>
    </row>
    <row r="49" spans="1:23" s="191" customFormat="1" ht="41.25" customHeight="1" x14ac:dyDescent="0.35">
      <c r="A49" s="183">
        <v>11</v>
      </c>
      <c r="B49" s="184" t="s">
        <v>91</v>
      </c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186" t="s">
        <v>88</v>
      </c>
      <c r="O49" s="35"/>
      <c r="P49" s="36"/>
      <c r="Q49" s="36"/>
      <c r="R49" s="36"/>
      <c r="S49" s="36"/>
      <c r="T49" s="36"/>
      <c r="U49" s="36"/>
      <c r="V49" s="36"/>
      <c r="W49" s="37"/>
    </row>
    <row r="50" spans="1:23" s="191" customFormat="1" ht="21" x14ac:dyDescent="0.35">
      <c r="A50" s="183">
        <v>12</v>
      </c>
      <c r="B50" s="184" t="s">
        <v>92</v>
      </c>
      <c r="C50" s="185"/>
      <c r="D50" s="185"/>
      <c r="E50" s="185"/>
      <c r="F50" s="185"/>
      <c r="G50" s="185"/>
      <c r="H50" s="185"/>
      <c r="I50" s="185"/>
      <c r="J50" s="185"/>
      <c r="K50" s="185"/>
      <c r="L50" s="185"/>
      <c r="M50" s="186" t="s">
        <v>88</v>
      </c>
      <c r="O50" s="35"/>
      <c r="P50" s="36"/>
      <c r="Q50" s="36"/>
      <c r="R50" s="36"/>
      <c r="S50" s="36"/>
      <c r="T50" s="36"/>
      <c r="U50" s="36"/>
      <c r="V50" s="36"/>
      <c r="W50" s="37"/>
    </row>
    <row r="51" spans="1:23" s="191" customFormat="1" ht="21" x14ac:dyDescent="0.35">
      <c r="A51" s="183">
        <v>13</v>
      </c>
      <c r="B51" s="184" t="str">
        <f>CONCATENATE("Слагам на котлона цялата течност и варя бурно около ",M9,"")</f>
        <v>Слагам на котлона цялата течност и варя бурно около 60</v>
      </c>
      <c r="C51" s="185"/>
      <c r="D51" s="185"/>
      <c r="E51" s="185"/>
      <c r="F51" s="185"/>
      <c r="G51" s="185"/>
      <c r="H51" s="185"/>
      <c r="I51" s="185"/>
      <c r="J51" s="185"/>
      <c r="K51" s="185"/>
      <c r="L51" s="185"/>
      <c r="M51" s="186" t="s">
        <v>88</v>
      </c>
      <c r="O51" s="35"/>
      <c r="P51" s="36"/>
      <c r="Q51" s="36"/>
      <c r="R51" s="36"/>
      <c r="S51" s="36"/>
      <c r="T51" s="36"/>
      <c r="U51" s="36"/>
      <c r="V51" s="36"/>
      <c r="W51" s="37"/>
    </row>
    <row r="52" spans="1:23" s="191" customFormat="1" ht="42" customHeight="1" x14ac:dyDescent="0.35">
      <c r="A52" s="183">
        <v>14</v>
      </c>
      <c r="B52" s="192" t="str">
        <f>CONCATENATE("Слагам хмеловете според таблицата горе на съответните времена: ",F4,H4,"гр",J3,J4,"мин  , ",F5,H5,"гр",J3,J5,"мин , ",F6,H6,"гр",J3,J6,"мин , ",F7,H7,"гр",J3,J7,"мин",)</f>
        <v>Слагам хмеловете според таблицата горе на съответните времена: Citra 10гр@10мин  , Magnum 20гр@10мин , Citra 10гр@40мин , Citra 10гр@55мин</v>
      </c>
      <c r="C52" s="193"/>
      <c r="D52" s="193"/>
      <c r="E52" s="193"/>
      <c r="F52" s="193"/>
      <c r="G52" s="193"/>
      <c r="H52" s="193"/>
      <c r="I52" s="193"/>
      <c r="J52" s="193"/>
      <c r="K52" s="193"/>
      <c r="L52" s="193"/>
      <c r="M52" s="186" t="s">
        <v>88</v>
      </c>
      <c r="O52" s="35"/>
      <c r="P52" s="36"/>
      <c r="Q52" s="36"/>
      <c r="R52" s="36"/>
      <c r="S52" s="36"/>
      <c r="T52" s="36"/>
      <c r="U52" s="36"/>
      <c r="V52" s="36"/>
      <c r="W52" s="37"/>
    </row>
    <row r="53" spans="1:23" s="191" customFormat="1" ht="21" x14ac:dyDescent="0.35">
      <c r="A53" s="183">
        <v>15</v>
      </c>
      <c r="B53" s="184" t="str">
        <f>CONCATENATE("На ",M9-5," минута слагам ИРЛАНДСКИ МЪХ(1 щипка / 5гр)")</f>
        <v>На 55 минута слагам ИРЛАНДСКИ МЪХ(1 щипка / 5гр)</v>
      </c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6" t="s">
        <v>88</v>
      </c>
      <c r="O53" s="35"/>
      <c r="P53" s="36"/>
      <c r="Q53" s="36"/>
      <c r="R53" s="36"/>
      <c r="S53" s="36"/>
      <c r="T53" s="36"/>
      <c r="U53" s="36"/>
      <c r="V53" s="36"/>
      <c r="W53" s="37"/>
    </row>
    <row r="54" spans="1:23" s="191" customFormat="1" ht="21" x14ac:dyDescent="0.35">
      <c r="A54" s="183">
        <v>16</v>
      </c>
      <c r="B54" s="184" t="str">
        <f>CONCATENATE("На ",M9-5," минута преди края на варенето слагам серпентината вътре, за да се дезинфекцира")</f>
        <v>На 55 минута преди края на варенето слагам серпентината вътре, за да се дезинфекцира</v>
      </c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6" t="s">
        <v>88</v>
      </c>
      <c r="O54" s="35"/>
      <c r="P54" s="36"/>
      <c r="Q54" s="36"/>
      <c r="R54" s="36"/>
      <c r="S54" s="36"/>
      <c r="T54" s="36"/>
      <c r="U54" s="36"/>
      <c r="V54" s="36"/>
      <c r="W54" s="37"/>
    </row>
    <row r="55" spans="1:23" s="191" customFormat="1" ht="44.25" customHeight="1" x14ac:dyDescent="0.35">
      <c r="A55" s="183">
        <v>17</v>
      </c>
      <c r="B55" s="184" t="str">
        <f>CONCATENATE("Охлаждам бирената мъст в казана с помощта на чилър(сепрентина) до ",L10," (би трябвало да отнеме не повече от 25 минути)")</f>
        <v>Охлаждам бирената мъст в казана с помощта на чилър(сепрентина) до 20 °C (би трябвало да отнеме не повече от 25 минути)</v>
      </c>
      <c r="C55" s="185"/>
      <c r="D55" s="185"/>
      <c r="E55" s="185"/>
      <c r="F55" s="185"/>
      <c r="G55" s="185"/>
      <c r="H55" s="185"/>
      <c r="I55" s="185"/>
      <c r="J55" s="185"/>
      <c r="K55" s="185"/>
      <c r="L55" s="185"/>
      <c r="M55" s="186" t="s">
        <v>88</v>
      </c>
      <c r="O55" s="35"/>
      <c r="P55" s="36"/>
      <c r="Q55" s="36"/>
      <c r="R55" s="36"/>
      <c r="S55" s="36"/>
      <c r="T55" s="36"/>
      <c r="U55" s="36"/>
      <c r="V55" s="36"/>
      <c r="W55" s="37"/>
    </row>
    <row r="56" spans="1:23" s="191" customFormat="1" ht="21" x14ac:dyDescent="0.35">
      <c r="A56" s="183">
        <v>18</v>
      </c>
      <c r="B56" s="184" t="str">
        <f>CONCATENATE("Изчаквам да паднат утайките с капак на казана за около ",M11," минути")</f>
        <v>Изчаквам да паднат утайките с капак на казана за около 60 минути</v>
      </c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6" t="s">
        <v>88</v>
      </c>
      <c r="O56" s="35"/>
      <c r="P56" s="36"/>
      <c r="Q56" s="36"/>
      <c r="R56" s="36"/>
      <c r="S56" s="36"/>
      <c r="T56" s="36"/>
      <c r="U56" s="36"/>
      <c r="V56" s="36"/>
      <c r="W56" s="37"/>
    </row>
    <row r="57" spans="1:23" s="191" customFormat="1" ht="40.5" customHeight="1" x14ac:dyDescent="0.35">
      <c r="A57" s="183">
        <v>19</v>
      </c>
      <c r="B57" s="188" t="str">
        <f>CONCATENATE("Дoкато чакам да се утаи всичко приготвям стартера - дрождите (",C6," грама) в топла вода 300мл (20-25 градуса), супена лъжица захар и малко бирената мъст, които слагам също във ферментатора")</f>
        <v>Дoкато чакам да се утаи всичко приготвям стартера - дрождите (11 грама) в топла вода 300мл (20-25 градуса), супена лъжица захар и малко бирената мъст, които слагам също във ферментатора</v>
      </c>
      <c r="C57" s="189"/>
      <c r="D57" s="189"/>
      <c r="E57" s="189"/>
      <c r="F57" s="189"/>
      <c r="G57" s="189"/>
      <c r="H57" s="189"/>
      <c r="I57" s="189"/>
      <c r="J57" s="189"/>
      <c r="K57" s="189"/>
      <c r="L57" s="190"/>
      <c r="M57" s="186" t="s">
        <v>88</v>
      </c>
      <c r="O57" s="35"/>
      <c r="P57" s="36"/>
      <c r="Q57" s="36"/>
      <c r="R57" s="36"/>
      <c r="S57" s="36"/>
      <c r="T57" s="36"/>
      <c r="U57" s="36"/>
      <c r="V57" s="36"/>
      <c r="W57" s="37"/>
    </row>
    <row r="58" spans="1:23" s="191" customFormat="1" ht="21" x14ac:dyDescent="0.35">
      <c r="A58" s="183">
        <v>20</v>
      </c>
      <c r="B58" s="184" t="s">
        <v>93</v>
      </c>
      <c r="C58" s="185"/>
      <c r="D58" s="185"/>
      <c r="E58" s="185"/>
      <c r="F58" s="185"/>
      <c r="G58" s="185"/>
      <c r="H58" s="185"/>
      <c r="I58" s="185"/>
      <c r="J58" s="185"/>
      <c r="K58" s="185"/>
      <c r="L58" s="185"/>
      <c r="M58" s="186" t="s">
        <v>88</v>
      </c>
      <c r="O58" s="35"/>
      <c r="P58" s="36"/>
      <c r="Q58" s="36"/>
      <c r="R58" s="36"/>
      <c r="S58" s="36"/>
      <c r="T58" s="36"/>
      <c r="U58" s="36"/>
      <c r="V58" s="36"/>
      <c r="W58" s="37"/>
    </row>
    <row r="59" spans="1:23" s="191" customFormat="1" ht="21" x14ac:dyDescent="0.35">
      <c r="A59" s="183">
        <v>21</v>
      </c>
      <c r="B59" s="184" t="s">
        <v>94</v>
      </c>
      <c r="C59" s="185"/>
      <c r="D59" s="185"/>
      <c r="E59" s="185"/>
      <c r="F59" s="185"/>
      <c r="G59" s="185"/>
      <c r="H59" s="185"/>
      <c r="I59" s="185"/>
      <c r="J59" s="185"/>
      <c r="K59" s="185"/>
      <c r="L59" s="185"/>
      <c r="M59" s="186" t="s">
        <v>88</v>
      </c>
      <c r="O59" s="35"/>
      <c r="P59" s="36"/>
      <c r="Q59" s="36"/>
      <c r="R59" s="36"/>
      <c r="S59" s="36"/>
      <c r="T59" s="36"/>
      <c r="U59" s="36"/>
      <c r="V59" s="36"/>
      <c r="W59" s="37"/>
    </row>
    <row r="60" spans="1:23" s="191" customFormat="1" ht="21" x14ac:dyDescent="0.35">
      <c r="A60" s="183">
        <v>22</v>
      </c>
      <c r="B60" s="184" t="s">
        <v>95</v>
      </c>
      <c r="C60" s="185"/>
      <c r="D60" s="185"/>
      <c r="E60" s="185"/>
      <c r="F60" s="185"/>
      <c r="G60" s="185"/>
      <c r="H60" s="185"/>
      <c r="I60" s="185"/>
      <c r="J60" s="185"/>
      <c r="K60" s="185"/>
      <c r="L60" s="185"/>
      <c r="M60" s="186" t="s">
        <v>88</v>
      </c>
      <c r="O60" s="35"/>
      <c r="P60" s="36"/>
      <c r="Q60" s="36"/>
      <c r="R60" s="36"/>
      <c r="S60" s="36"/>
      <c r="T60" s="36"/>
      <c r="U60" s="36"/>
      <c r="V60" s="36"/>
      <c r="W60" s="37"/>
    </row>
    <row r="61" spans="1:23" s="191" customFormat="1" ht="21" x14ac:dyDescent="0.35">
      <c r="A61" s="183">
        <v>23</v>
      </c>
      <c r="B61" s="188" t="s">
        <v>96</v>
      </c>
      <c r="C61" s="189"/>
      <c r="D61" s="189"/>
      <c r="E61" s="189"/>
      <c r="F61" s="189"/>
      <c r="G61" s="189"/>
      <c r="H61" s="189"/>
      <c r="I61" s="189"/>
      <c r="J61" s="189"/>
      <c r="K61" s="189"/>
      <c r="L61" s="190"/>
      <c r="M61" s="186" t="s">
        <v>88</v>
      </c>
      <c r="O61" s="35"/>
      <c r="P61" s="36"/>
      <c r="Q61" s="36"/>
      <c r="R61" s="36"/>
      <c r="S61" s="36"/>
      <c r="T61" s="36"/>
      <c r="U61" s="36"/>
      <c r="V61" s="36"/>
      <c r="W61" s="37"/>
    </row>
    <row r="62" spans="1:23" s="191" customFormat="1" ht="21" x14ac:dyDescent="0.35">
      <c r="A62" s="183">
        <v>24</v>
      </c>
      <c r="B62" s="184" t="s">
        <v>97</v>
      </c>
      <c r="C62" s="185"/>
      <c r="D62" s="185"/>
      <c r="E62" s="185"/>
      <c r="F62" s="185"/>
      <c r="G62" s="185"/>
      <c r="H62" s="185"/>
      <c r="I62" s="185"/>
      <c r="J62" s="185"/>
      <c r="K62" s="185"/>
      <c r="L62" s="185"/>
      <c r="M62" s="186" t="s">
        <v>88</v>
      </c>
      <c r="O62" s="35"/>
      <c r="P62" s="36"/>
      <c r="Q62" s="36"/>
      <c r="R62" s="36"/>
      <c r="S62" s="36"/>
      <c r="T62" s="36"/>
      <c r="U62" s="36"/>
      <c r="V62" s="36"/>
      <c r="W62" s="37"/>
    </row>
    <row r="63" spans="1:23" s="191" customFormat="1" ht="42.75" customHeight="1" x14ac:dyDescent="0.35">
      <c r="A63" s="183">
        <v>25</v>
      </c>
      <c r="B63" s="184" t="s">
        <v>98</v>
      </c>
      <c r="C63" s="185"/>
      <c r="D63" s="185"/>
      <c r="E63" s="185"/>
      <c r="F63" s="185"/>
      <c r="G63" s="185"/>
      <c r="H63" s="185"/>
      <c r="I63" s="185"/>
      <c r="J63" s="185"/>
      <c r="K63" s="185"/>
      <c r="L63" s="185"/>
      <c r="M63" s="186" t="s">
        <v>88</v>
      </c>
      <c r="O63" s="35"/>
      <c r="P63" s="36"/>
      <c r="Q63" s="36"/>
      <c r="R63" s="36"/>
      <c r="S63" s="36"/>
      <c r="T63" s="36"/>
      <c r="U63" s="36"/>
      <c r="V63" s="36"/>
      <c r="W63" s="37"/>
    </row>
    <row r="64" spans="1:23" s="191" customFormat="1" ht="21" x14ac:dyDescent="0.35">
      <c r="A64" s="183">
        <v>26</v>
      </c>
      <c r="B64" s="184" t="s">
        <v>99</v>
      </c>
      <c r="C64" s="185"/>
      <c r="D64" s="185"/>
      <c r="E64" s="185"/>
      <c r="F64" s="185"/>
      <c r="G64" s="185"/>
      <c r="H64" s="185"/>
      <c r="I64" s="185"/>
      <c r="J64" s="185"/>
      <c r="K64" s="185"/>
      <c r="L64" s="185"/>
      <c r="M64" s="186" t="s">
        <v>88</v>
      </c>
      <c r="O64" s="35"/>
      <c r="P64" s="36"/>
      <c r="Q64" s="36"/>
      <c r="R64" s="36"/>
      <c r="S64" s="36"/>
      <c r="T64" s="36"/>
      <c r="U64" s="36"/>
      <c r="V64" s="36"/>
      <c r="W64" s="37"/>
    </row>
    <row r="65" spans="1:23" s="191" customFormat="1" ht="21" x14ac:dyDescent="0.35">
      <c r="A65" s="183">
        <v>27</v>
      </c>
      <c r="B65" s="184" t="s">
        <v>100</v>
      </c>
      <c r="C65" s="185"/>
      <c r="D65" s="185"/>
      <c r="E65" s="185"/>
      <c r="F65" s="185"/>
      <c r="G65" s="185"/>
      <c r="H65" s="185"/>
      <c r="I65" s="185"/>
      <c r="J65" s="185"/>
      <c r="K65" s="185"/>
      <c r="L65" s="185"/>
      <c r="M65" s="186" t="s">
        <v>88</v>
      </c>
      <c r="O65" s="35"/>
      <c r="P65" s="36"/>
      <c r="Q65" s="36"/>
      <c r="R65" s="36"/>
      <c r="S65" s="36"/>
      <c r="T65" s="36"/>
      <c r="U65" s="36"/>
      <c r="V65" s="36"/>
      <c r="W65" s="37"/>
    </row>
    <row r="66" spans="1:23" s="191" customFormat="1" ht="64.5" customHeight="1" x14ac:dyDescent="0.35">
      <c r="A66" s="183">
        <v>28</v>
      </c>
      <c r="B66" s="188" t="s">
        <v>101</v>
      </c>
      <c r="C66" s="189"/>
      <c r="D66" s="189"/>
      <c r="E66" s="189"/>
      <c r="F66" s="189"/>
      <c r="G66" s="189"/>
      <c r="H66" s="189"/>
      <c r="I66" s="189"/>
      <c r="J66" s="189"/>
      <c r="K66" s="189"/>
      <c r="L66" s="190"/>
      <c r="M66" s="186" t="s">
        <v>88</v>
      </c>
      <c r="O66" s="35"/>
      <c r="P66" s="36"/>
      <c r="Q66" s="36"/>
      <c r="R66" s="36"/>
      <c r="S66" s="36"/>
      <c r="T66" s="36"/>
      <c r="U66" s="36"/>
      <c r="V66" s="36"/>
      <c r="W66" s="37"/>
    </row>
    <row r="67" spans="1:23" s="191" customFormat="1" ht="21" x14ac:dyDescent="0.35">
      <c r="A67" s="183">
        <v>29</v>
      </c>
      <c r="B67" s="188" t="s">
        <v>102</v>
      </c>
      <c r="C67" s="189"/>
      <c r="D67" s="189"/>
      <c r="E67" s="189"/>
      <c r="F67" s="189"/>
      <c r="G67" s="189"/>
      <c r="H67" s="189"/>
      <c r="I67" s="189"/>
      <c r="J67" s="189"/>
      <c r="K67" s="189"/>
      <c r="L67" s="190"/>
      <c r="M67" s="186" t="s">
        <v>88</v>
      </c>
      <c r="O67" s="35"/>
      <c r="P67" s="36"/>
      <c r="Q67" s="36"/>
      <c r="R67" s="36"/>
      <c r="S67" s="36"/>
      <c r="T67" s="36"/>
      <c r="U67" s="36"/>
      <c r="V67" s="36"/>
      <c r="W67" s="37"/>
    </row>
    <row r="68" spans="1:23" s="191" customFormat="1" ht="21" x14ac:dyDescent="0.35">
      <c r="A68" s="183">
        <v>30</v>
      </c>
      <c r="B68" s="184" t="s">
        <v>103</v>
      </c>
      <c r="C68" s="185"/>
      <c r="D68" s="185"/>
      <c r="E68" s="185"/>
      <c r="F68" s="185"/>
      <c r="G68" s="185"/>
      <c r="H68" s="185"/>
      <c r="I68" s="185"/>
      <c r="J68" s="185"/>
      <c r="K68" s="185"/>
      <c r="L68" s="185"/>
      <c r="M68" s="186" t="s">
        <v>88</v>
      </c>
      <c r="O68" s="35"/>
      <c r="P68" s="36"/>
      <c r="Q68" s="36"/>
      <c r="R68" s="36"/>
      <c r="S68" s="36"/>
      <c r="T68" s="36"/>
      <c r="U68" s="36"/>
      <c r="V68" s="36"/>
      <c r="W68" s="37"/>
    </row>
    <row r="69" spans="1:23" s="191" customFormat="1" ht="21.75" thickBot="1" x14ac:dyDescent="0.4">
      <c r="A69" s="194">
        <v>31</v>
      </c>
      <c r="B69" s="195" t="s">
        <v>104</v>
      </c>
      <c r="C69" s="196"/>
      <c r="D69" s="196"/>
      <c r="E69" s="196"/>
      <c r="F69" s="196"/>
      <c r="G69" s="196"/>
      <c r="H69" s="196"/>
      <c r="I69" s="196"/>
      <c r="J69" s="196"/>
      <c r="K69" s="196"/>
      <c r="L69" s="196"/>
      <c r="M69" s="197" t="s">
        <v>88</v>
      </c>
      <c r="O69" s="35"/>
      <c r="P69" s="36"/>
      <c r="Q69" s="36"/>
      <c r="R69" s="36"/>
      <c r="S69" s="36"/>
      <c r="T69" s="36"/>
      <c r="U69" s="36"/>
      <c r="V69" s="36"/>
      <c r="W69" s="37"/>
    </row>
    <row r="70" spans="1:23" s="199" customFormat="1" ht="12.75" customHeight="1" thickBot="1" x14ac:dyDescent="0.3">
      <c r="A70" s="198"/>
      <c r="C70"/>
      <c r="D70"/>
      <c r="E70"/>
      <c r="F70"/>
      <c r="G70"/>
      <c r="H70"/>
      <c r="I70"/>
      <c r="J70"/>
      <c r="K70"/>
      <c r="L70"/>
      <c r="M70"/>
      <c r="O70" s="35"/>
      <c r="P70" s="36"/>
      <c r="Q70" s="36"/>
      <c r="R70" s="36"/>
      <c r="S70" s="36"/>
      <c r="T70" s="36"/>
      <c r="U70" s="36"/>
      <c r="V70" s="36"/>
      <c r="W70" s="37"/>
    </row>
    <row r="71" spans="1:23" s="199" customFormat="1" ht="36" x14ac:dyDescent="0.25">
      <c r="A71" s="200" t="s">
        <v>105</v>
      </c>
      <c r="B71" s="201"/>
      <c r="C71" s="201"/>
      <c r="D71" s="201"/>
      <c r="E71" s="201"/>
      <c r="F71" s="201"/>
      <c r="G71" s="201"/>
      <c r="H71" s="201"/>
      <c r="I71" s="201"/>
      <c r="J71" s="201"/>
      <c r="K71" s="201"/>
      <c r="L71" s="201"/>
      <c r="M71" s="202"/>
      <c r="O71" s="35"/>
      <c r="P71" s="36"/>
      <c r="Q71" s="36"/>
      <c r="R71" s="36"/>
      <c r="S71" s="36"/>
      <c r="T71" s="36"/>
      <c r="U71" s="36"/>
      <c r="V71" s="36"/>
      <c r="W71" s="37"/>
    </row>
    <row r="72" spans="1:23" x14ac:dyDescent="0.25">
      <c r="A72" s="203" t="s">
        <v>106</v>
      </c>
      <c r="B72" s="204" t="s">
        <v>107</v>
      </c>
      <c r="C72" s="204" t="s">
        <v>108</v>
      </c>
      <c r="D72" s="204" t="s">
        <v>109</v>
      </c>
      <c r="E72" s="204" t="s">
        <v>110</v>
      </c>
      <c r="F72" s="204"/>
      <c r="G72" s="204" t="s">
        <v>111</v>
      </c>
      <c r="H72" s="205" t="s">
        <v>112</v>
      </c>
      <c r="I72" s="206" t="s">
        <v>113</v>
      </c>
      <c r="J72" s="206"/>
      <c r="K72" s="206"/>
      <c r="L72" s="206"/>
      <c r="M72" s="207"/>
      <c r="O72" s="35"/>
      <c r="P72" s="36"/>
      <c r="Q72" s="36"/>
      <c r="R72" s="36"/>
      <c r="S72" s="36"/>
      <c r="T72" s="36"/>
      <c r="U72" s="36"/>
      <c r="V72" s="36"/>
      <c r="W72" s="37"/>
    </row>
    <row r="73" spans="1:23" x14ac:dyDescent="0.25">
      <c r="A73" s="208" t="s">
        <v>114</v>
      </c>
      <c r="B73" s="209"/>
      <c r="C73" s="209"/>
      <c r="D73" s="209"/>
      <c r="E73" s="209"/>
      <c r="F73" s="209"/>
      <c r="G73" s="209"/>
      <c r="H73" s="209"/>
      <c r="I73" s="209"/>
      <c r="J73" s="209"/>
      <c r="K73" s="209"/>
      <c r="L73" s="209"/>
      <c r="M73" s="210"/>
      <c r="O73" s="35"/>
      <c r="P73" s="36"/>
      <c r="Q73" s="36"/>
      <c r="R73" s="36"/>
      <c r="S73" s="36"/>
      <c r="T73" s="36"/>
      <c r="U73" s="36"/>
      <c r="V73" s="36"/>
      <c r="W73" s="37"/>
    </row>
    <row r="74" spans="1:23" ht="45" customHeight="1" x14ac:dyDescent="0.25">
      <c r="A74" s="211">
        <v>1</v>
      </c>
      <c r="B74" s="212"/>
      <c r="C74" s="213"/>
      <c r="D74" s="214"/>
      <c r="E74" s="214"/>
      <c r="F74" s="214"/>
      <c r="G74" s="215"/>
      <c r="H74" s="216"/>
      <c r="I74" s="217"/>
      <c r="J74" s="217"/>
      <c r="K74" s="217"/>
      <c r="L74" s="217"/>
      <c r="M74" s="218"/>
      <c r="O74" s="35"/>
      <c r="P74" s="36"/>
      <c r="Q74" s="36"/>
      <c r="R74" s="36"/>
      <c r="S74" s="36"/>
      <c r="T74" s="36"/>
      <c r="U74" s="36"/>
      <c r="V74" s="36"/>
      <c r="W74" s="37"/>
    </row>
    <row r="75" spans="1:23" x14ac:dyDescent="0.25">
      <c r="A75" s="208" t="s">
        <v>115</v>
      </c>
      <c r="B75" s="209"/>
      <c r="C75" s="209"/>
      <c r="D75" s="209"/>
      <c r="E75" s="209"/>
      <c r="F75" s="209"/>
      <c r="G75" s="209"/>
      <c r="H75" s="209"/>
      <c r="I75" s="209"/>
      <c r="J75" s="209"/>
      <c r="K75" s="209"/>
      <c r="L75" s="209"/>
      <c r="M75" s="210"/>
      <c r="O75" s="35"/>
      <c r="P75" s="36"/>
      <c r="Q75" s="36"/>
      <c r="R75" s="36"/>
      <c r="S75" s="36"/>
      <c r="T75" s="36"/>
      <c r="U75" s="36"/>
      <c r="V75" s="36"/>
      <c r="W75" s="37"/>
    </row>
    <row r="76" spans="1:23" ht="45" customHeight="1" thickBot="1" x14ac:dyDescent="0.3">
      <c r="A76" s="211">
        <v>1</v>
      </c>
      <c r="B76" s="212" t="s">
        <v>116</v>
      </c>
      <c r="C76" s="213">
        <v>42750</v>
      </c>
      <c r="D76" s="214">
        <v>0.4375</v>
      </c>
      <c r="E76" s="214"/>
      <c r="F76" s="214"/>
      <c r="G76" s="215"/>
      <c r="H76" s="216"/>
      <c r="I76" s="217"/>
      <c r="J76" s="217"/>
      <c r="K76" s="217"/>
      <c r="L76" s="217"/>
      <c r="M76" s="218"/>
      <c r="O76" s="219"/>
      <c r="P76" s="220"/>
      <c r="Q76" s="220"/>
      <c r="R76" s="220"/>
      <c r="S76" s="220"/>
      <c r="T76" s="220"/>
      <c r="U76" s="220"/>
      <c r="V76" s="220"/>
      <c r="W76" s="221"/>
    </row>
    <row r="77" spans="1:23" ht="45" customHeight="1" x14ac:dyDescent="0.25">
      <c r="A77" s="211">
        <v>2</v>
      </c>
      <c r="B77" s="212" t="s">
        <v>117</v>
      </c>
      <c r="C77" s="213">
        <v>42750</v>
      </c>
      <c r="D77" s="214">
        <v>0.46875</v>
      </c>
      <c r="E77" s="222">
        <v>0.52083333333333337</v>
      </c>
      <c r="F77" s="222"/>
      <c r="G77" s="215"/>
      <c r="H77" s="216"/>
      <c r="I77" s="217" t="s">
        <v>118</v>
      </c>
      <c r="J77" s="217"/>
      <c r="K77" s="217"/>
      <c r="L77" s="217"/>
      <c r="M77" s="218"/>
      <c r="O77" s="223" t="s">
        <v>119</v>
      </c>
      <c r="P77" s="224"/>
      <c r="Q77" s="224"/>
      <c r="R77" s="224"/>
      <c r="S77" s="224"/>
      <c r="T77" s="224"/>
      <c r="U77" s="224"/>
      <c r="V77" s="224"/>
      <c r="W77" s="225"/>
    </row>
    <row r="78" spans="1:23" ht="45" customHeight="1" x14ac:dyDescent="0.25">
      <c r="A78" s="211">
        <v>3</v>
      </c>
      <c r="B78" s="212" t="s">
        <v>120</v>
      </c>
      <c r="C78" s="213">
        <v>42750</v>
      </c>
      <c r="D78" s="214">
        <v>0.52083333333333337</v>
      </c>
      <c r="E78" s="214">
        <v>0.52083333333333337</v>
      </c>
      <c r="F78" s="214"/>
      <c r="G78" s="215"/>
      <c r="H78" s="216"/>
      <c r="I78" s="217"/>
      <c r="J78" s="217"/>
      <c r="K78" s="217"/>
      <c r="L78" s="217"/>
      <c r="M78" s="218"/>
      <c r="O78" s="226" t="s">
        <v>121</v>
      </c>
      <c r="P78" s="227" t="s">
        <v>122</v>
      </c>
      <c r="Q78" s="227"/>
      <c r="R78" s="228" t="s">
        <v>123</v>
      </c>
      <c r="S78" s="227" t="s">
        <v>124</v>
      </c>
      <c r="T78" s="229"/>
      <c r="U78" s="228" t="s">
        <v>125</v>
      </c>
      <c r="V78" s="228" t="s">
        <v>126</v>
      </c>
      <c r="W78" s="230" t="s">
        <v>127</v>
      </c>
    </row>
    <row r="79" spans="1:23" ht="45" customHeight="1" thickBot="1" x14ac:dyDescent="0.3">
      <c r="A79" s="211">
        <v>4</v>
      </c>
      <c r="B79" s="231" t="s">
        <v>128</v>
      </c>
      <c r="C79" s="213">
        <v>42750</v>
      </c>
      <c r="D79" s="214">
        <v>0.53125</v>
      </c>
      <c r="E79" s="232"/>
      <c r="F79" s="232"/>
      <c r="G79" s="215"/>
      <c r="H79" s="216"/>
      <c r="I79" s="217"/>
      <c r="J79" s="217"/>
      <c r="K79" s="217"/>
      <c r="L79" s="217"/>
      <c r="M79" s="218"/>
      <c r="O79" s="233">
        <v>6</v>
      </c>
      <c r="P79" s="234">
        <v>13.5</v>
      </c>
      <c r="Q79" s="234"/>
      <c r="R79" s="235">
        <v>32</v>
      </c>
      <c r="S79" s="236">
        <f>(R79*P79)/100</f>
        <v>4.32</v>
      </c>
      <c r="T79" s="236"/>
      <c r="U79" s="237">
        <f>(S79/O79)*100</f>
        <v>72.000000000000014</v>
      </c>
      <c r="V79" s="237">
        <f>P79*R79/O79</f>
        <v>72</v>
      </c>
      <c r="W79" s="238">
        <f>(U79/78)*100</f>
        <v>92.307692307692321</v>
      </c>
    </row>
    <row r="80" spans="1:23" ht="45" customHeight="1" x14ac:dyDescent="0.25">
      <c r="A80" s="211">
        <v>5</v>
      </c>
      <c r="B80" s="212"/>
      <c r="C80" s="213">
        <v>42750</v>
      </c>
      <c r="D80" s="214"/>
      <c r="E80" s="232"/>
      <c r="F80" s="232"/>
      <c r="G80" s="215"/>
      <c r="H80" s="216"/>
      <c r="I80" s="217"/>
      <c r="J80" s="217"/>
      <c r="K80" s="217"/>
      <c r="L80" s="217"/>
      <c r="M80" s="218"/>
    </row>
    <row r="81" spans="1:13" ht="45" customHeight="1" x14ac:dyDescent="0.25">
      <c r="A81" s="211">
        <v>6</v>
      </c>
      <c r="B81" s="212"/>
      <c r="C81" s="213"/>
      <c r="D81" s="214"/>
      <c r="E81" s="232"/>
      <c r="F81" s="232"/>
      <c r="G81" s="215"/>
      <c r="H81" s="216"/>
      <c r="I81" s="217"/>
      <c r="J81" s="217"/>
      <c r="K81" s="217"/>
      <c r="L81" s="217"/>
      <c r="M81" s="218"/>
    </row>
    <row r="82" spans="1:13" ht="45" customHeight="1" x14ac:dyDescent="0.25">
      <c r="A82" s="211">
        <v>7</v>
      </c>
      <c r="B82" s="212"/>
      <c r="C82" s="213"/>
      <c r="D82" s="214"/>
      <c r="E82" s="232"/>
      <c r="F82" s="232"/>
      <c r="G82" s="215"/>
      <c r="H82" s="216"/>
      <c r="I82" s="217"/>
      <c r="J82" s="217"/>
      <c r="K82" s="217"/>
      <c r="L82" s="217"/>
      <c r="M82" s="218"/>
    </row>
    <row r="83" spans="1:13" x14ac:dyDescent="0.25">
      <c r="A83" s="208" t="s">
        <v>129</v>
      </c>
      <c r="B83" s="209"/>
      <c r="C83" s="209"/>
      <c r="D83" s="209"/>
      <c r="E83" s="209"/>
      <c r="F83" s="209"/>
      <c r="G83" s="209"/>
      <c r="H83" s="209"/>
      <c r="I83" s="209"/>
      <c r="J83" s="209"/>
      <c r="K83" s="209"/>
      <c r="L83" s="209"/>
      <c r="M83" s="210"/>
    </row>
    <row r="84" spans="1:13" ht="45" customHeight="1" x14ac:dyDescent="0.25">
      <c r="A84" s="211" t="s">
        <v>130</v>
      </c>
      <c r="B84" s="212" t="s">
        <v>131</v>
      </c>
      <c r="C84" s="213"/>
      <c r="D84" s="214">
        <v>0.55208333333333337</v>
      </c>
      <c r="E84" s="214"/>
      <c r="F84" s="214"/>
      <c r="G84" s="215"/>
      <c r="H84" s="216"/>
      <c r="I84" s="217"/>
      <c r="J84" s="217"/>
      <c r="K84" s="217"/>
      <c r="L84" s="217"/>
      <c r="M84" s="218"/>
    </row>
    <row r="85" spans="1:13" ht="45" customHeight="1" x14ac:dyDescent="0.25">
      <c r="A85" s="211" t="s">
        <v>132</v>
      </c>
      <c r="B85" s="212" t="s">
        <v>133</v>
      </c>
      <c r="C85" s="213"/>
      <c r="D85" s="214">
        <v>0.58333333333333337</v>
      </c>
      <c r="E85" s="214"/>
      <c r="F85" s="214"/>
      <c r="G85" s="215"/>
      <c r="H85" s="216"/>
      <c r="I85" s="217"/>
      <c r="J85" s="217"/>
      <c r="K85" s="217"/>
      <c r="L85" s="217"/>
      <c r="M85" s="218"/>
    </row>
    <row r="86" spans="1:13" ht="45" customHeight="1" x14ac:dyDescent="0.25">
      <c r="A86" s="211" t="s">
        <v>134</v>
      </c>
      <c r="B86" s="212"/>
      <c r="C86" s="213"/>
      <c r="D86" s="214"/>
      <c r="E86" s="214"/>
      <c r="F86" s="214"/>
      <c r="G86" s="215"/>
      <c r="H86" s="216"/>
      <c r="I86" s="239"/>
      <c r="J86" s="239"/>
      <c r="K86" s="239"/>
      <c r="L86" s="239"/>
      <c r="M86" s="240"/>
    </row>
    <row r="87" spans="1:13" ht="45" customHeight="1" x14ac:dyDescent="0.25">
      <c r="A87" s="211" t="s">
        <v>135</v>
      </c>
      <c r="B87" s="241" t="s">
        <v>136</v>
      </c>
      <c r="C87" s="213"/>
      <c r="D87" s="214"/>
      <c r="E87" s="214"/>
      <c r="F87" s="214"/>
      <c r="G87" s="215"/>
      <c r="H87" s="67" t="s">
        <v>137</v>
      </c>
      <c r="I87" s="217"/>
      <c r="J87" s="217"/>
      <c r="K87" s="217"/>
      <c r="L87" s="217"/>
      <c r="M87" s="218"/>
    </row>
    <row r="88" spans="1:13" x14ac:dyDescent="0.25">
      <c r="A88" s="208" t="s">
        <v>138</v>
      </c>
      <c r="B88" s="209"/>
      <c r="C88" s="209"/>
      <c r="D88" s="209"/>
      <c r="E88" s="209"/>
      <c r="F88" s="209"/>
      <c r="G88" s="209"/>
      <c r="H88" s="209"/>
      <c r="I88" s="209"/>
      <c r="J88" s="209"/>
      <c r="K88" s="209"/>
      <c r="L88" s="209"/>
      <c r="M88" s="210"/>
    </row>
    <row r="89" spans="1:13" ht="45" customHeight="1" x14ac:dyDescent="0.25">
      <c r="A89" s="211" t="s">
        <v>130</v>
      </c>
      <c r="B89" s="231" t="s">
        <v>139</v>
      </c>
      <c r="C89" s="213"/>
      <c r="D89" s="214">
        <v>0.59722222222222221</v>
      </c>
      <c r="E89" s="214"/>
      <c r="F89" s="214"/>
      <c r="G89" s="215"/>
      <c r="H89" s="216"/>
      <c r="I89" s="217"/>
      <c r="J89" s="217"/>
      <c r="K89" s="217"/>
      <c r="L89" s="217"/>
      <c r="M89" s="218"/>
    </row>
    <row r="90" spans="1:13" ht="45" customHeight="1" x14ac:dyDescent="0.25">
      <c r="A90" s="211" t="s">
        <v>132</v>
      </c>
      <c r="B90" s="212" t="s">
        <v>140</v>
      </c>
      <c r="C90" s="213"/>
      <c r="D90" s="214">
        <v>0.72222222222222221</v>
      </c>
      <c r="E90" s="214"/>
      <c r="F90" s="214"/>
      <c r="G90" s="215"/>
      <c r="H90" s="216"/>
      <c r="I90" s="217"/>
      <c r="J90" s="217"/>
      <c r="K90" s="217"/>
      <c r="L90" s="217"/>
      <c r="M90" s="218"/>
    </row>
    <row r="91" spans="1:13" ht="45" customHeight="1" x14ac:dyDescent="0.25">
      <c r="A91" s="211" t="s">
        <v>134</v>
      </c>
      <c r="B91" s="212" t="s">
        <v>141</v>
      </c>
      <c r="C91" s="213"/>
      <c r="D91" s="214">
        <v>0.76388888888888884</v>
      </c>
      <c r="E91" s="214"/>
      <c r="F91" s="214"/>
      <c r="G91" s="215"/>
      <c r="H91" s="216"/>
      <c r="I91" s="217"/>
      <c r="J91" s="217"/>
      <c r="K91" s="217"/>
      <c r="L91" s="217"/>
      <c r="M91" s="218"/>
    </row>
    <row r="92" spans="1:13" ht="45" customHeight="1" x14ac:dyDescent="0.25">
      <c r="A92" s="211" t="s">
        <v>135</v>
      </c>
      <c r="B92" s="212" t="s">
        <v>142</v>
      </c>
      <c r="C92" s="213"/>
      <c r="D92" s="214">
        <v>0.76388888888888884</v>
      </c>
      <c r="E92" s="214"/>
      <c r="F92" s="214"/>
      <c r="G92" s="215"/>
      <c r="H92" s="67" t="s">
        <v>143</v>
      </c>
      <c r="I92" s="217"/>
      <c r="J92" s="217"/>
      <c r="K92" s="217"/>
      <c r="L92" s="217"/>
      <c r="M92" s="218"/>
    </row>
    <row r="93" spans="1:13" ht="45" customHeight="1" x14ac:dyDescent="0.25">
      <c r="A93" s="211" t="s">
        <v>144</v>
      </c>
      <c r="B93" s="231"/>
      <c r="C93" s="213"/>
      <c r="D93" s="214"/>
      <c r="E93" s="214"/>
      <c r="F93" s="214"/>
      <c r="G93" s="215"/>
      <c r="H93" s="216"/>
      <c r="I93" s="217"/>
      <c r="J93" s="217"/>
      <c r="K93" s="217"/>
      <c r="L93" s="217"/>
      <c r="M93" s="218"/>
    </row>
    <row r="94" spans="1:13" ht="45" customHeight="1" x14ac:dyDescent="0.25">
      <c r="A94" s="211" t="s">
        <v>145</v>
      </c>
      <c r="B94" s="212"/>
      <c r="C94" s="213"/>
      <c r="D94" s="214"/>
      <c r="E94" s="214"/>
      <c r="F94" s="214"/>
      <c r="G94" s="215"/>
      <c r="H94" s="216"/>
      <c r="I94" s="217"/>
      <c r="J94" s="217"/>
      <c r="K94" s="217"/>
      <c r="L94" s="217"/>
      <c r="M94" s="218"/>
    </row>
    <row r="95" spans="1:13" ht="45" customHeight="1" x14ac:dyDescent="0.25">
      <c r="A95" s="211" t="s">
        <v>146</v>
      </c>
      <c r="B95" s="212"/>
      <c r="C95" s="213"/>
      <c r="D95" s="214"/>
      <c r="E95" s="214"/>
      <c r="F95" s="214"/>
      <c r="G95" s="215"/>
      <c r="H95" s="216"/>
      <c r="I95" s="217"/>
      <c r="J95" s="217"/>
      <c r="K95" s="217"/>
      <c r="L95" s="217"/>
      <c r="M95" s="218"/>
    </row>
    <row r="96" spans="1:13" x14ac:dyDescent="0.25">
      <c r="A96" s="208" t="s">
        <v>147</v>
      </c>
      <c r="B96" s="209"/>
      <c r="C96" s="209"/>
      <c r="D96" s="209"/>
      <c r="E96" s="209"/>
      <c r="F96" s="209"/>
      <c r="G96" s="209"/>
      <c r="H96" s="209"/>
      <c r="I96" s="209"/>
      <c r="J96" s="209"/>
      <c r="K96" s="209"/>
      <c r="L96" s="209"/>
      <c r="M96" s="210"/>
    </row>
    <row r="97" spans="1:13" ht="45" customHeight="1" x14ac:dyDescent="0.25">
      <c r="A97" s="211" t="s">
        <v>130</v>
      </c>
      <c r="B97" s="231"/>
      <c r="C97" s="213"/>
      <c r="D97" s="214"/>
      <c r="E97" s="214"/>
      <c r="F97" s="214"/>
      <c r="G97" s="215"/>
      <c r="H97" s="216"/>
      <c r="I97" s="217"/>
      <c r="J97" s="217"/>
      <c r="K97" s="217"/>
      <c r="L97" s="217"/>
      <c r="M97" s="218"/>
    </row>
    <row r="98" spans="1:13" ht="45" customHeight="1" x14ac:dyDescent="0.25">
      <c r="A98" s="211" t="s">
        <v>132</v>
      </c>
      <c r="B98" s="212"/>
      <c r="C98" s="213"/>
      <c r="D98" s="214"/>
      <c r="E98" s="214"/>
      <c r="F98" s="214"/>
      <c r="G98" s="215"/>
      <c r="H98" s="216"/>
      <c r="I98" s="217"/>
      <c r="J98" s="217"/>
      <c r="K98" s="217"/>
      <c r="L98" s="217"/>
      <c r="M98" s="218"/>
    </row>
    <row r="99" spans="1:13" ht="45" customHeight="1" x14ac:dyDescent="0.25">
      <c r="A99" s="211" t="s">
        <v>134</v>
      </c>
      <c r="B99" s="212"/>
      <c r="C99" s="213"/>
      <c r="D99" s="214"/>
      <c r="E99" s="214"/>
      <c r="F99" s="214"/>
      <c r="G99" s="215"/>
      <c r="H99" s="216"/>
      <c r="I99" s="239"/>
      <c r="J99" s="239"/>
      <c r="K99" s="239"/>
      <c r="L99" s="239"/>
      <c r="M99" s="240"/>
    </row>
    <row r="100" spans="1:13" x14ac:dyDescent="0.25">
      <c r="A100" s="208" t="s">
        <v>148</v>
      </c>
      <c r="B100" s="209"/>
      <c r="C100" s="209"/>
      <c r="D100" s="209"/>
      <c r="E100" s="209"/>
      <c r="F100" s="209"/>
      <c r="G100" s="209"/>
      <c r="H100" s="209"/>
      <c r="I100" s="209"/>
      <c r="J100" s="209"/>
      <c r="K100" s="209"/>
      <c r="L100" s="209"/>
      <c r="M100" s="210"/>
    </row>
    <row r="101" spans="1:13" ht="45" customHeight="1" x14ac:dyDescent="0.25">
      <c r="A101" s="211" t="s">
        <v>130</v>
      </c>
      <c r="B101" s="212" t="s">
        <v>36</v>
      </c>
      <c r="C101" s="213">
        <v>42754</v>
      </c>
      <c r="D101" s="214">
        <v>0.875</v>
      </c>
      <c r="E101" s="214"/>
      <c r="F101" s="214"/>
      <c r="G101" s="215"/>
      <c r="H101" s="216"/>
      <c r="I101" s="239" t="s">
        <v>149</v>
      </c>
      <c r="J101" s="239"/>
      <c r="K101" s="239"/>
      <c r="L101" s="239"/>
      <c r="M101" s="240"/>
    </row>
    <row r="102" spans="1:13" ht="45" customHeight="1" x14ac:dyDescent="0.25">
      <c r="A102" s="211" t="s">
        <v>132</v>
      </c>
      <c r="B102" s="212"/>
      <c r="C102" s="242"/>
      <c r="D102" s="214"/>
      <c r="E102" s="214"/>
      <c r="F102" s="214"/>
      <c r="G102" s="215"/>
      <c r="H102" s="216"/>
      <c r="I102" s="217"/>
      <c r="J102" s="217"/>
      <c r="K102" s="217"/>
      <c r="L102" s="217"/>
      <c r="M102" s="218"/>
    </row>
    <row r="103" spans="1:13" ht="45" customHeight="1" x14ac:dyDescent="0.25">
      <c r="A103" s="211" t="s">
        <v>134</v>
      </c>
      <c r="B103" s="212"/>
      <c r="C103" s="242"/>
      <c r="D103" s="214"/>
      <c r="E103" s="214"/>
      <c r="F103" s="214"/>
      <c r="G103" s="215"/>
      <c r="H103" s="216"/>
      <c r="I103" s="217"/>
      <c r="J103" s="217"/>
      <c r="K103" s="217"/>
      <c r="L103" s="217"/>
      <c r="M103" s="218"/>
    </row>
    <row r="104" spans="1:13" x14ac:dyDescent="0.25">
      <c r="A104" s="208" t="s">
        <v>150</v>
      </c>
      <c r="B104" s="209"/>
      <c r="C104" s="209"/>
      <c r="D104" s="209"/>
      <c r="E104" s="209"/>
      <c r="F104" s="209"/>
      <c r="G104" s="209"/>
      <c r="H104" s="209"/>
      <c r="I104" s="209"/>
      <c r="J104" s="209"/>
      <c r="K104" s="209"/>
      <c r="L104" s="209"/>
      <c r="M104" s="210"/>
    </row>
    <row r="105" spans="1:13" ht="45" customHeight="1" x14ac:dyDescent="0.25">
      <c r="A105" s="211" t="s">
        <v>130</v>
      </c>
      <c r="B105" s="212"/>
      <c r="C105" s="242"/>
      <c r="D105" s="214"/>
      <c r="E105" s="214"/>
      <c r="F105" s="214"/>
      <c r="G105" s="215"/>
      <c r="H105" s="216"/>
      <c r="I105" s="217"/>
      <c r="J105" s="217"/>
      <c r="K105" s="217"/>
      <c r="L105" s="217"/>
      <c r="M105" s="218"/>
    </row>
    <row r="106" spans="1:13" ht="45" customHeight="1" x14ac:dyDescent="0.25">
      <c r="A106" s="211" t="s">
        <v>132</v>
      </c>
      <c r="B106" s="212"/>
      <c r="C106" s="242"/>
      <c r="D106" s="214"/>
      <c r="E106" s="214"/>
      <c r="F106" s="214"/>
      <c r="G106" s="215"/>
      <c r="H106" s="216"/>
      <c r="I106" s="217"/>
      <c r="J106" s="217"/>
      <c r="K106" s="217"/>
      <c r="L106" s="217"/>
      <c r="M106" s="218"/>
    </row>
    <row r="107" spans="1:13" ht="15.75" thickBot="1" x14ac:dyDescent="0.3">
      <c r="A107" s="243"/>
      <c r="B107" s="244"/>
      <c r="C107" s="244"/>
      <c r="D107" s="244"/>
      <c r="E107" s="245" t="s">
        <v>151</v>
      </c>
      <c r="F107" s="245"/>
      <c r="G107" s="246">
        <f>SUM(G105:G106,G101:G103,G97:G99,G89:G95,G84:G87,G76:G82,G76)</f>
        <v>0</v>
      </c>
      <c r="H107" s="247"/>
      <c r="I107" s="247"/>
      <c r="J107" s="247"/>
      <c r="K107" s="247"/>
      <c r="L107" s="247"/>
      <c r="M107" s="248"/>
    </row>
  </sheetData>
  <mergeCells count="138">
    <mergeCell ref="A104:M104"/>
    <mergeCell ref="I105:M105"/>
    <mergeCell ref="I106:M106"/>
    <mergeCell ref="A107:D107"/>
    <mergeCell ref="H107:M107"/>
    <mergeCell ref="I98:M98"/>
    <mergeCell ref="I99:M99"/>
    <mergeCell ref="A100:M100"/>
    <mergeCell ref="I101:M101"/>
    <mergeCell ref="I102:M102"/>
    <mergeCell ref="I103:M103"/>
    <mergeCell ref="I92:M92"/>
    <mergeCell ref="I93:M93"/>
    <mergeCell ref="I94:M94"/>
    <mergeCell ref="I95:M95"/>
    <mergeCell ref="A96:M96"/>
    <mergeCell ref="I97:M97"/>
    <mergeCell ref="I86:M86"/>
    <mergeCell ref="I87:M87"/>
    <mergeCell ref="A88:M88"/>
    <mergeCell ref="I89:M89"/>
    <mergeCell ref="I90:M90"/>
    <mergeCell ref="I91:M91"/>
    <mergeCell ref="I80:M80"/>
    <mergeCell ref="I81:M81"/>
    <mergeCell ref="I82:M82"/>
    <mergeCell ref="A83:M83"/>
    <mergeCell ref="I84:M84"/>
    <mergeCell ref="I85:M85"/>
    <mergeCell ref="I78:M78"/>
    <mergeCell ref="P78:Q78"/>
    <mergeCell ref="S78:T78"/>
    <mergeCell ref="I79:M79"/>
    <mergeCell ref="P79:Q79"/>
    <mergeCell ref="S79:T79"/>
    <mergeCell ref="A73:M73"/>
    <mergeCell ref="I74:M74"/>
    <mergeCell ref="A75:M75"/>
    <mergeCell ref="I76:M76"/>
    <mergeCell ref="I77:M77"/>
    <mergeCell ref="O77:W77"/>
    <mergeCell ref="B66:L66"/>
    <mergeCell ref="B67:L67"/>
    <mergeCell ref="B68:L68"/>
    <mergeCell ref="B69:L69"/>
    <mergeCell ref="A71:M71"/>
    <mergeCell ref="I72:M72"/>
    <mergeCell ref="B60:L60"/>
    <mergeCell ref="B61:L61"/>
    <mergeCell ref="B62:L62"/>
    <mergeCell ref="B63:L63"/>
    <mergeCell ref="B64:L64"/>
    <mergeCell ref="B65:L65"/>
    <mergeCell ref="B54:L54"/>
    <mergeCell ref="B55:L55"/>
    <mergeCell ref="B56:L56"/>
    <mergeCell ref="B57:L57"/>
    <mergeCell ref="B58:L58"/>
    <mergeCell ref="B59:L59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F37:G37"/>
    <mergeCell ref="H37:K37"/>
    <mergeCell ref="A38:L38"/>
    <mergeCell ref="B39:L39"/>
    <mergeCell ref="B40:L40"/>
    <mergeCell ref="B41:L41"/>
    <mergeCell ref="F34:G34"/>
    <mergeCell ref="H34:J34"/>
    <mergeCell ref="F35:G35"/>
    <mergeCell ref="H35:J35"/>
    <mergeCell ref="A36:B36"/>
    <mergeCell ref="F36:G36"/>
    <mergeCell ref="H36:J36"/>
    <mergeCell ref="A32:B32"/>
    <mergeCell ref="F32:G32"/>
    <mergeCell ref="H32:J32"/>
    <mergeCell ref="A33:B33"/>
    <mergeCell ref="F33:G33"/>
    <mergeCell ref="H33:J33"/>
    <mergeCell ref="K26:M36"/>
    <mergeCell ref="H27:J27"/>
    <mergeCell ref="H28:J28"/>
    <mergeCell ref="H29:J29"/>
    <mergeCell ref="H30:J30"/>
    <mergeCell ref="H31:J31"/>
    <mergeCell ref="H23:J23"/>
    <mergeCell ref="H24:J24"/>
    <mergeCell ref="A25:B25"/>
    <mergeCell ref="F25:G25"/>
    <mergeCell ref="H25:J25"/>
    <mergeCell ref="A26:B26"/>
    <mergeCell ref="H26:J26"/>
    <mergeCell ref="F19:G19"/>
    <mergeCell ref="A20:B20"/>
    <mergeCell ref="F20:G20"/>
    <mergeCell ref="H20:J20"/>
    <mergeCell ref="H21:J21"/>
    <mergeCell ref="H22:J22"/>
    <mergeCell ref="A14:B14"/>
    <mergeCell ref="F14:G14"/>
    <mergeCell ref="F15:G15"/>
    <mergeCell ref="F16:G16"/>
    <mergeCell ref="F17:G17"/>
    <mergeCell ref="F18:G18"/>
    <mergeCell ref="F7:G7"/>
    <mergeCell ref="F8:G8"/>
    <mergeCell ref="F10:J10"/>
    <mergeCell ref="F11:G11"/>
    <mergeCell ref="F12:G12"/>
    <mergeCell ref="A13:B13"/>
    <mergeCell ref="F13:G13"/>
    <mergeCell ref="K3:K4"/>
    <mergeCell ref="L3:L4"/>
    <mergeCell ref="M3:M4"/>
    <mergeCell ref="F4:G4"/>
    <mergeCell ref="F5:G5"/>
    <mergeCell ref="F6:G6"/>
    <mergeCell ref="A1:D1"/>
    <mergeCell ref="E1:M1"/>
    <mergeCell ref="O1:R1"/>
    <mergeCell ref="S1:W1"/>
    <mergeCell ref="A2:E2"/>
    <mergeCell ref="F2:J2"/>
    <mergeCell ref="K2:M2"/>
    <mergeCell ref="O2:W76"/>
    <mergeCell ref="A3:B3"/>
    <mergeCell ref="F3:G3"/>
  </mergeCells>
  <hyperlinks>
    <hyperlink ref="S1" r:id="rId1"/>
  </hyperlinks>
  <printOptions horizontalCentered="1"/>
  <pageMargins left="3.937007874015748E-2" right="0" top="0" bottom="0.17" header="0" footer="0"/>
  <pageSetup paperSize="9" scale="59" fitToHeight="4" orientation="portrait" r:id="rId2"/>
  <rowBreaks count="1" manualBreakCount="1">
    <brk id="70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Процедура 6 Irish Red Ale</vt:lpstr>
      <vt:lpstr>'Процедура 6 Irish Red Ale'!Print_Area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Al-Rifay</dc:creator>
  <cp:lastModifiedBy>Mohamed Al-Rifay</cp:lastModifiedBy>
  <dcterms:created xsi:type="dcterms:W3CDTF">2017-03-02T06:31:14Z</dcterms:created>
  <dcterms:modified xsi:type="dcterms:W3CDTF">2017-03-02T06:31:43Z</dcterms:modified>
</cp:coreProperties>
</file>